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n\Documents\Ann\Bridge\BttF\Website\Files\"/>
    </mc:Choice>
  </mc:AlternateContent>
  <xr:revisionPtr revIDLastSave="0" documentId="8_{044C55B2-6CDC-43CE-8B84-64620C35CD91}" xr6:coauthVersionLast="46" xr6:coauthVersionMax="46" xr10:uidLastSave="{00000000-0000-0000-0000-000000000000}"/>
  <bookViews>
    <workbookView xWindow="-108" yWindow="-108" windowWidth="23256" windowHeight="12576" tabRatio="647" firstSheet="1" activeTab="2" xr2:uid="{7F1C4947-8363-447E-B34B-FC2A336B15D3}"/>
  </bookViews>
  <sheets>
    <sheet name="WBF VP Scale" sheetId="11" r:id="rId1"/>
    <sheet name="Team Info" sheetId="1" r:id="rId2"/>
    <sheet name="Rangschikking" sheetId="9" r:id="rId3"/>
    <sheet name="Speeldag 8 + Finales" sheetId="19" r:id="rId4"/>
    <sheet name="Speeldag 7 + HF" sheetId="18" r:id="rId5"/>
    <sheet name="Speeldag 6 + KF" sheetId="17" r:id="rId6"/>
    <sheet name="Speeldag 5" sheetId="16" r:id="rId7"/>
    <sheet name="Speeldag 4" sheetId="15" r:id="rId8"/>
    <sheet name="Speeldag 3" sheetId="14" r:id="rId9"/>
    <sheet name="Speeldag 2" sheetId="12" r:id="rId10"/>
    <sheet name="Speeldag 1" sheetId="2" r:id="rId1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2" i="19" l="1"/>
  <c r="G22" i="19"/>
  <c r="H16" i="19" l="1"/>
  <c r="G16" i="19"/>
  <c r="M49" i="9" l="1"/>
  <c r="M48" i="9"/>
  <c r="M39" i="9"/>
  <c r="M47" i="9"/>
  <c r="M41" i="9"/>
  <c r="M43" i="9"/>
  <c r="M40" i="9"/>
  <c r="M46" i="9"/>
  <c r="M44" i="9"/>
  <c r="M35" i="9"/>
  <c r="M34" i="9"/>
  <c r="M42" i="9"/>
  <c r="M45" i="9"/>
  <c r="M29" i="9"/>
  <c r="M37" i="9"/>
  <c r="M30" i="9"/>
  <c r="M38" i="9"/>
  <c r="M24" i="9"/>
  <c r="M33" i="9"/>
  <c r="M31" i="9"/>
  <c r="M21" i="9"/>
  <c r="M36" i="9"/>
  <c r="M22" i="9"/>
  <c r="M32" i="9"/>
  <c r="M27" i="9"/>
  <c r="M25" i="9"/>
  <c r="M26" i="9"/>
  <c r="M23" i="9"/>
  <c r="M28" i="9"/>
  <c r="M17" i="9"/>
  <c r="M16" i="9"/>
  <c r="M15" i="9"/>
  <c r="M20" i="9"/>
  <c r="M18" i="9"/>
  <c r="M19" i="9"/>
  <c r="M12" i="9"/>
  <c r="M14" i="9"/>
  <c r="M11" i="9"/>
  <c r="M13" i="9"/>
  <c r="M9" i="9"/>
  <c r="M10" i="9"/>
  <c r="M8" i="9"/>
  <c r="H18" i="18" l="1"/>
  <c r="G18" i="18"/>
  <c r="I29" i="19" l="1"/>
  <c r="K29" i="19" s="1"/>
  <c r="E29" i="19"/>
  <c r="C29" i="19"/>
  <c r="K28" i="19"/>
  <c r="J28" i="19"/>
  <c r="I28" i="19"/>
  <c r="E28" i="19"/>
  <c r="C28" i="19"/>
  <c r="I27" i="19"/>
  <c r="K27" i="19" s="1"/>
  <c r="E27" i="19"/>
  <c r="C27" i="19"/>
  <c r="J26" i="19"/>
  <c r="I26" i="19"/>
  <c r="K26" i="19" s="1"/>
  <c r="E26" i="19"/>
  <c r="C26" i="19"/>
  <c r="K25" i="19"/>
  <c r="J25" i="19"/>
  <c r="I25" i="19"/>
  <c r="E25" i="19"/>
  <c r="C25" i="19"/>
  <c r="I24" i="19"/>
  <c r="K24" i="19" s="1"/>
  <c r="E24" i="19"/>
  <c r="C24" i="19"/>
  <c r="I23" i="19"/>
  <c r="J23" i="19" s="1"/>
  <c r="E23" i="19"/>
  <c r="C23" i="19"/>
  <c r="K22" i="19"/>
  <c r="J22" i="19"/>
  <c r="I22" i="19"/>
  <c r="E22" i="19"/>
  <c r="C22" i="19"/>
  <c r="K21" i="19"/>
  <c r="J21" i="19"/>
  <c r="I21" i="19"/>
  <c r="E21" i="19"/>
  <c r="C21" i="19"/>
  <c r="I20" i="19"/>
  <c r="K20" i="19" s="1"/>
  <c r="E20" i="19"/>
  <c r="C20" i="19"/>
  <c r="I19" i="19"/>
  <c r="K19" i="19" s="1"/>
  <c r="E19" i="19"/>
  <c r="C19" i="19"/>
  <c r="I18" i="19"/>
  <c r="K18" i="19" s="1"/>
  <c r="E18" i="19"/>
  <c r="C18" i="19"/>
  <c r="I17" i="19"/>
  <c r="K17" i="19" s="1"/>
  <c r="E17" i="19"/>
  <c r="C17" i="19"/>
  <c r="J16" i="19"/>
  <c r="I16" i="19"/>
  <c r="K16" i="19" s="1"/>
  <c r="E16" i="19"/>
  <c r="C16" i="19"/>
  <c r="K15" i="19"/>
  <c r="J15" i="19"/>
  <c r="I15" i="19"/>
  <c r="E15" i="19"/>
  <c r="C15" i="19"/>
  <c r="E14" i="19"/>
  <c r="C14" i="19"/>
  <c r="K13" i="19"/>
  <c r="I13" i="19"/>
  <c r="J13" i="19" s="1"/>
  <c r="E13" i="19"/>
  <c r="C13" i="19"/>
  <c r="I12" i="19"/>
  <c r="K12" i="19" s="1"/>
  <c r="E12" i="19"/>
  <c r="C12" i="19"/>
  <c r="I11" i="19"/>
  <c r="K11" i="19" s="1"/>
  <c r="E11" i="19"/>
  <c r="C11" i="19"/>
  <c r="K10" i="19"/>
  <c r="I10" i="19"/>
  <c r="J10" i="19" s="1"/>
  <c r="E10" i="19"/>
  <c r="C10" i="19"/>
  <c r="K9" i="19"/>
  <c r="I9" i="19"/>
  <c r="J9" i="19" s="1"/>
  <c r="E9" i="19"/>
  <c r="C9" i="19"/>
  <c r="I7" i="19"/>
  <c r="K7" i="19" s="1"/>
  <c r="E7" i="19"/>
  <c r="C7" i="19"/>
  <c r="K5" i="19"/>
  <c r="J5" i="19"/>
  <c r="I5" i="19"/>
  <c r="E5" i="19"/>
  <c r="C5" i="19"/>
  <c r="J20" i="19" l="1"/>
  <c r="J19" i="19"/>
  <c r="J29" i="19"/>
  <c r="K23" i="19"/>
  <c r="J11" i="19"/>
  <c r="J17" i="19"/>
  <c r="J27" i="19"/>
  <c r="I14" i="19"/>
  <c r="J14" i="19" s="1"/>
  <c r="J7" i="19"/>
  <c r="J12" i="19"/>
  <c r="J18" i="19"/>
  <c r="J24" i="19"/>
  <c r="H13" i="18"/>
  <c r="K14" i="19" l="1"/>
  <c r="G13" i="18"/>
  <c r="H22" i="18"/>
  <c r="G22" i="18"/>
  <c r="L10" i="9" l="1"/>
  <c r="L11" i="9"/>
  <c r="L9" i="9"/>
  <c r="L20" i="9"/>
  <c r="L13" i="9"/>
  <c r="L19" i="9"/>
  <c r="L18" i="9"/>
  <c r="L14" i="9"/>
  <c r="L26" i="9"/>
  <c r="L12" i="9"/>
  <c r="L27" i="9"/>
  <c r="L17" i="9"/>
  <c r="L23" i="9"/>
  <c r="L36" i="9"/>
  <c r="L16" i="9"/>
  <c r="L15" i="9"/>
  <c r="L30" i="9"/>
  <c r="L25" i="9"/>
  <c r="L21" i="9"/>
  <c r="L32" i="9"/>
  <c r="L33" i="9"/>
  <c r="L31" i="9"/>
  <c r="L22" i="9"/>
  <c r="L24" i="9"/>
  <c r="L28" i="9"/>
  <c r="L37" i="9"/>
  <c r="L40" i="9"/>
  <c r="L34" i="9"/>
  <c r="L29" i="9"/>
  <c r="L35" i="9"/>
  <c r="L42" i="9"/>
  <c r="L38" i="9"/>
  <c r="L43" i="9"/>
  <c r="L46" i="9"/>
  <c r="L45" i="9"/>
  <c r="L44" i="9"/>
  <c r="L41" i="9"/>
  <c r="L39" i="9"/>
  <c r="L48" i="9"/>
  <c r="L49" i="9"/>
  <c r="L47" i="9"/>
  <c r="L8" i="9"/>
  <c r="H6" i="17"/>
  <c r="G6" i="17"/>
  <c r="H28" i="17" l="1"/>
  <c r="G28" i="17"/>
  <c r="I28" i="18" l="1"/>
  <c r="J28" i="18" s="1"/>
  <c r="E28" i="18"/>
  <c r="C28" i="18"/>
  <c r="I27" i="18"/>
  <c r="J27" i="18" s="1"/>
  <c r="E27" i="18"/>
  <c r="C27" i="18"/>
  <c r="I26" i="18"/>
  <c r="K26" i="18" s="1"/>
  <c r="E26" i="18"/>
  <c r="C26" i="18"/>
  <c r="J25" i="18"/>
  <c r="I25" i="18"/>
  <c r="K25" i="18" s="1"/>
  <c r="E25" i="18"/>
  <c r="C25" i="18"/>
  <c r="I24" i="18"/>
  <c r="K24" i="18" s="1"/>
  <c r="E24" i="18"/>
  <c r="C24" i="18"/>
  <c r="I23" i="18"/>
  <c r="J23" i="18" s="1"/>
  <c r="E23" i="18"/>
  <c r="C23" i="18"/>
  <c r="I22" i="18"/>
  <c r="K22" i="18" s="1"/>
  <c r="E22" i="18"/>
  <c r="C22" i="18"/>
  <c r="I21" i="18"/>
  <c r="J21" i="18" s="1"/>
  <c r="E21" i="18"/>
  <c r="C21" i="18"/>
  <c r="I20" i="18"/>
  <c r="J20" i="18" s="1"/>
  <c r="E20" i="18"/>
  <c r="C20" i="18"/>
  <c r="I19" i="18"/>
  <c r="K19" i="18" s="1"/>
  <c r="E19" i="18"/>
  <c r="C19" i="18"/>
  <c r="K18" i="18"/>
  <c r="J18" i="18"/>
  <c r="I18" i="18"/>
  <c r="E18" i="18"/>
  <c r="C18" i="18"/>
  <c r="I17" i="18"/>
  <c r="J17" i="18" s="1"/>
  <c r="E17" i="18"/>
  <c r="C17" i="18"/>
  <c r="I16" i="18"/>
  <c r="E16" i="18"/>
  <c r="C16" i="18"/>
  <c r="I15" i="18"/>
  <c r="K15" i="18" s="1"/>
  <c r="E15" i="18"/>
  <c r="C15" i="18"/>
  <c r="I14" i="18"/>
  <c r="J14" i="18" s="1"/>
  <c r="E14" i="18"/>
  <c r="C14" i="18"/>
  <c r="I13" i="18"/>
  <c r="J13" i="18" s="1"/>
  <c r="E13" i="18"/>
  <c r="C13" i="18"/>
  <c r="I12" i="18"/>
  <c r="K12" i="18" s="1"/>
  <c r="E12" i="18"/>
  <c r="C12" i="18"/>
  <c r="I11" i="18"/>
  <c r="J11" i="18" s="1"/>
  <c r="E11" i="18"/>
  <c r="C11" i="18"/>
  <c r="I10" i="18"/>
  <c r="K10" i="18" s="1"/>
  <c r="E10" i="18"/>
  <c r="C10" i="18"/>
  <c r="I9" i="18"/>
  <c r="J9" i="18" s="1"/>
  <c r="E9" i="18"/>
  <c r="C9" i="18"/>
  <c r="I8" i="18"/>
  <c r="K8" i="18" s="1"/>
  <c r="E8" i="18"/>
  <c r="C8" i="18"/>
  <c r="I6" i="18"/>
  <c r="K6" i="18" s="1"/>
  <c r="E6" i="18"/>
  <c r="C6" i="18"/>
  <c r="I5" i="18"/>
  <c r="K5" i="18" s="1"/>
  <c r="E5" i="18"/>
  <c r="C5" i="18"/>
  <c r="K28" i="18" l="1"/>
  <c r="K14" i="18"/>
  <c r="K11" i="18"/>
  <c r="K17" i="18"/>
  <c r="J6" i="18"/>
  <c r="K23" i="18"/>
  <c r="J24" i="18"/>
  <c r="K27" i="18"/>
  <c r="J5" i="18"/>
  <c r="K9" i="18"/>
  <c r="J10" i="18"/>
  <c r="K13" i="18"/>
  <c r="J15" i="18"/>
  <c r="K20" i="18"/>
  <c r="J19" i="18"/>
  <c r="J8" i="18"/>
  <c r="J12" i="18"/>
  <c r="J16" i="18"/>
  <c r="K21" i="18"/>
  <c r="J22" i="18"/>
  <c r="J26" i="18"/>
  <c r="K16" i="18"/>
  <c r="H20" i="17"/>
  <c r="G20" i="17"/>
  <c r="H15" i="17"/>
  <c r="G15" i="17"/>
  <c r="H16" i="17"/>
  <c r="G16" i="17"/>
  <c r="K48" i="9" l="1"/>
  <c r="K35" i="9"/>
  <c r="K49" i="9"/>
  <c r="K47" i="9"/>
  <c r="K44" i="9"/>
  <c r="K39" i="9"/>
  <c r="K25" i="9"/>
  <c r="K21" i="9"/>
  <c r="K22" i="9"/>
  <c r="K12" i="9"/>
  <c r="K14" i="9"/>
  <c r="K32" i="9"/>
  <c r="K17" i="9"/>
  <c r="K23" i="9"/>
  <c r="K31" i="9"/>
  <c r="K24" i="9"/>
  <c r="K36" i="9"/>
  <c r="K15" i="9"/>
  <c r="K27" i="9"/>
  <c r="K37" i="9"/>
  <c r="K45" i="9"/>
  <c r="K33" i="9"/>
  <c r="K34" i="9"/>
  <c r="K43" i="9"/>
  <c r="K28" i="9"/>
  <c r="K40" i="9"/>
  <c r="K42" i="9"/>
  <c r="K46" i="9"/>
  <c r="K29" i="9"/>
  <c r="K38" i="9"/>
  <c r="K41" i="9"/>
  <c r="K18" i="9"/>
  <c r="K30" i="9"/>
  <c r="K13" i="9"/>
  <c r="K20" i="9"/>
  <c r="K16" i="9"/>
  <c r="K19" i="9"/>
  <c r="K26" i="9"/>
  <c r="I28" i="17"/>
  <c r="K28" i="17" s="1"/>
  <c r="E28" i="17"/>
  <c r="C28" i="17"/>
  <c r="I27" i="17"/>
  <c r="K27" i="17" s="1"/>
  <c r="E27" i="17"/>
  <c r="C27" i="17"/>
  <c r="J26" i="17"/>
  <c r="I26" i="17"/>
  <c r="K26" i="17" s="1"/>
  <c r="E26" i="17"/>
  <c r="C26" i="17"/>
  <c r="I25" i="17"/>
  <c r="J25" i="17" s="1"/>
  <c r="E25" i="17"/>
  <c r="C25" i="17"/>
  <c r="I24" i="17"/>
  <c r="J24" i="17" s="1"/>
  <c r="E24" i="17"/>
  <c r="C24" i="17"/>
  <c r="I23" i="17"/>
  <c r="K23" i="17" s="1"/>
  <c r="E23" i="17"/>
  <c r="C23" i="17"/>
  <c r="J22" i="17"/>
  <c r="I22" i="17"/>
  <c r="K22" i="17" s="1"/>
  <c r="E22" i="17"/>
  <c r="C22" i="17"/>
  <c r="K21" i="17"/>
  <c r="J21" i="17"/>
  <c r="I21" i="17"/>
  <c r="E21" i="17"/>
  <c r="C21" i="17"/>
  <c r="K20" i="17"/>
  <c r="I20" i="17"/>
  <c r="J20" i="17" s="1"/>
  <c r="E20" i="17"/>
  <c r="C20" i="17"/>
  <c r="I19" i="17"/>
  <c r="K19" i="17" s="1"/>
  <c r="E19" i="17"/>
  <c r="C19" i="17"/>
  <c r="I18" i="17"/>
  <c r="K18" i="17" s="1"/>
  <c r="E18" i="17"/>
  <c r="C18" i="17"/>
  <c r="K17" i="17"/>
  <c r="I17" i="17"/>
  <c r="J17" i="17" s="1"/>
  <c r="E17" i="17"/>
  <c r="C17" i="17"/>
  <c r="K16" i="17"/>
  <c r="J16" i="17"/>
  <c r="I16" i="17"/>
  <c r="E16" i="17"/>
  <c r="C16" i="17"/>
  <c r="I15" i="17"/>
  <c r="K15" i="17" s="1"/>
  <c r="E15" i="17"/>
  <c r="C15" i="17"/>
  <c r="I14" i="17"/>
  <c r="K14" i="17" s="1"/>
  <c r="E14" i="17"/>
  <c r="C14" i="17"/>
  <c r="K13" i="17"/>
  <c r="I13" i="17"/>
  <c r="J13" i="17" s="1"/>
  <c r="E13" i="17"/>
  <c r="C13" i="17"/>
  <c r="K12" i="17"/>
  <c r="J12" i="17"/>
  <c r="I12" i="17"/>
  <c r="E12" i="17"/>
  <c r="C12" i="17"/>
  <c r="I11" i="17"/>
  <c r="K11" i="17" s="1"/>
  <c r="E11" i="17"/>
  <c r="C11" i="17"/>
  <c r="J10" i="17"/>
  <c r="I10" i="17"/>
  <c r="K10" i="17" s="1"/>
  <c r="E10" i="17"/>
  <c r="C10" i="17"/>
  <c r="K8" i="17"/>
  <c r="I8" i="17"/>
  <c r="J8" i="17" s="1"/>
  <c r="E8" i="17"/>
  <c r="C8" i="17"/>
  <c r="K7" i="17"/>
  <c r="J7" i="17"/>
  <c r="I7" i="17"/>
  <c r="E7" i="17"/>
  <c r="C7" i="17"/>
  <c r="I6" i="17"/>
  <c r="K6" i="17" s="1"/>
  <c r="E6" i="17"/>
  <c r="C6" i="17"/>
  <c r="I5" i="17"/>
  <c r="K5" i="17" s="1"/>
  <c r="E5" i="17"/>
  <c r="C5" i="17"/>
  <c r="J4" i="9"/>
  <c r="J8" i="9"/>
  <c r="J6" i="9"/>
  <c r="J7" i="9"/>
  <c r="J10" i="9"/>
  <c r="J11" i="9"/>
  <c r="J5" i="9"/>
  <c r="J9" i="9"/>
  <c r="J26" i="9"/>
  <c r="J19" i="9"/>
  <c r="J16" i="9"/>
  <c r="J20" i="9"/>
  <c r="J13" i="9"/>
  <c r="J30" i="9"/>
  <c r="J18" i="9"/>
  <c r="J25" i="9"/>
  <c r="J21" i="9"/>
  <c r="J22" i="9"/>
  <c r="J12" i="9"/>
  <c r="J14" i="9"/>
  <c r="J32" i="9"/>
  <c r="J17" i="9"/>
  <c r="J23" i="9"/>
  <c r="J31" i="9"/>
  <c r="J24" i="9"/>
  <c r="J36" i="9"/>
  <c r="J15" i="9"/>
  <c r="J27" i="9"/>
  <c r="J37" i="9"/>
  <c r="J45" i="9"/>
  <c r="J33" i="9"/>
  <c r="J34" i="9"/>
  <c r="J43" i="9"/>
  <c r="J28" i="9"/>
  <c r="J40" i="9"/>
  <c r="J42" i="9"/>
  <c r="J46" i="9"/>
  <c r="J29" i="9"/>
  <c r="J38" i="9"/>
  <c r="J41" i="9"/>
  <c r="J35" i="9"/>
  <c r="J49" i="9"/>
  <c r="J47" i="9"/>
  <c r="J44" i="9"/>
  <c r="J39" i="9"/>
  <c r="J48" i="9"/>
  <c r="K25" i="17" l="1"/>
  <c r="J5" i="17"/>
  <c r="J14" i="17"/>
  <c r="K24" i="17"/>
  <c r="J18" i="17"/>
  <c r="J6" i="17"/>
  <c r="J11" i="17"/>
  <c r="J15" i="17"/>
  <c r="J19" i="17"/>
  <c r="J23" i="17"/>
  <c r="J27" i="17"/>
  <c r="J28" i="17"/>
  <c r="I26" i="16" l="1"/>
  <c r="K26" i="16" s="1"/>
  <c r="E26" i="16"/>
  <c r="C26" i="16"/>
  <c r="E25" i="16"/>
  <c r="C25" i="16"/>
  <c r="K24" i="16"/>
  <c r="I24" i="16"/>
  <c r="J24" i="16" s="1"/>
  <c r="E24" i="16"/>
  <c r="C24" i="16"/>
  <c r="I23" i="16"/>
  <c r="J23" i="16" s="1"/>
  <c r="E23" i="16"/>
  <c r="C23" i="16"/>
  <c r="I22" i="16"/>
  <c r="K22" i="16" s="1"/>
  <c r="E22" i="16"/>
  <c r="C22" i="16"/>
  <c r="I21" i="16"/>
  <c r="J21" i="16" s="1"/>
  <c r="E21" i="16"/>
  <c r="C21" i="16"/>
  <c r="K20" i="16"/>
  <c r="J20" i="16"/>
  <c r="I20" i="16"/>
  <c r="E20" i="16"/>
  <c r="C20" i="16"/>
  <c r="K19" i="16"/>
  <c r="I19" i="16"/>
  <c r="J19" i="16" s="1"/>
  <c r="E19" i="16"/>
  <c r="C19" i="16"/>
  <c r="I18" i="16"/>
  <c r="K18" i="16" s="1"/>
  <c r="E18" i="16"/>
  <c r="C18" i="16"/>
  <c r="I17" i="16"/>
  <c r="J17" i="16" s="1"/>
  <c r="E17" i="16"/>
  <c r="C17" i="16"/>
  <c r="I16" i="16"/>
  <c r="J16" i="16" s="1"/>
  <c r="E16" i="16"/>
  <c r="C16" i="16"/>
  <c r="I15" i="16"/>
  <c r="J15" i="16" s="1"/>
  <c r="E15" i="16"/>
  <c r="C15" i="16"/>
  <c r="I14" i="16"/>
  <c r="K14" i="16" s="1"/>
  <c r="E14" i="16"/>
  <c r="C14" i="16"/>
  <c r="I13" i="16"/>
  <c r="J13" i="16" s="1"/>
  <c r="E13" i="16"/>
  <c r="C13" i="16"/>
  <c r="I12" i="16"/>
  <c r="J12" i="16" s="1"/>
  <c r="E12" i="16"/>
  <c r="C12" i="16"/>
  <c r="K11" i="16"/>
  <c r="I11" i="16"/>
  <c r="J11" i="16" s="1"/>
  <c r="E11" i="16"/>
  <c r="C11" i="16"/>
  <c r="I10" i="16"/>
  <c r="K10" i="16" s="1"/>
  <c r="E10" i="16"/>
  <c r="C10" i="16"/>
  <c r="I9" i="16"/>
  <c r="J9" i="16" s="1"/>
  <c r="E9" i="16"/>
  <c r="C9" i="16"/>
  <c r="I8" i="16"/>
  <c r="J8" i="16" s="1"/>
  <c r="E8" i="16"/>
  <c r="C8" i="16"/>
  <c r="K7" i="16"/>
  <c r="I7" i="16"/>
  <c r="J7" i="16" s="1"/>
  <c r="E7" i="16"/>
  <c r="C7" i="16"/>
  <c r="J6" i="16"/>
  <c r="I6" i="16"/>
  <c r="K6" i="16" s="1"/>
  <c r="E6" i="16"/>
  <c r="C6" i="16"/>
  <c r="I5" i="16"/>
  <c r="J5" i="16" s="1"/>
  <c r="E5" i="16"/>
  <c r="C5" i="16"/>
  <c r="J4" i="16"/>
  <c r="I4" i="16"/>
  <c r="K4" i="16" s="1"/>
  <c r="E4" i="16"/>
  <c r="C4" i="16"/>
  <c r="J10" i="16" l="1"/>
  <c r="J26" i="16"/>
  <c r="K23" i="16"/>
  <c r="J22" i="16"/>
  <c r="K12" i="16"/>
  <c r="K15" i="16"/>
  <c r="J14" i="16"/>
  <c r="K16" i="16"/>
  <c r="J18" i="16"/>
  <c r="K8" i="16"/>
  <c r="K25" i="16"/>
  <c r="K5" i="16"/>
  <c r="K9" i="16"/>
  <c r="K13" i="16"/>
  <c r="K17" i="16"/>
  <c r="K21" i="16"/>
  <c r="I25" i="16"/>
  <c r="J25" i="16"/>
  <c r="H25" i="15" l="1"/>
  <c r="G25" i="15"/>
  <c r="I16" i="9" l="1"/>
  <c r="I4" i="9"/>
  <c r="I10" i="9"/>
  <c r="I30" i="9"/>
  <c r="I21" i="9"/>
  <c r="I5" i="9"/>
  <c r="I11" i="9"/>
  <c r="I8" i="9"/>
  <c r="I32" i="9"/>
  <c r="I23" i="9"/>
  <c r="I22" i="9"/>
  <c r="I19" i="9"/>
  <c r="I43" i="9"/>
  <c r="I6" i="9"/>
  <c r="I9" i="9"/>
  <c r="I25" i="9"/>
  <c r="I20" i="9"/>
  <c r="I18" i="9"/>
  <c r="I13" i="9"/>
  <c r="I36" i="9"/>
  <c r="I7" i="9"/>
  <c r="I46" i="9"/>
  <c r="I27" i="9"/>
  <c r="I15" i="9"/>
  <c r="I34" i="9"/>
  <c r="I31" i="9"/>
  <c r="I37" i="9"/>
  <c r="I14" i="9"/>
  <c r="I33" i="9"/>
  <c r="I35" i="9"/>
  <c r="I38" i="9"/>
  <c r="I12" i="9"/>
  <c r="I24" i="9"/>
  <c r="I28" i="9"/>
  <c r="I26" i="9"/>
  <c r="I39" i="9"/>
  <c r="I17" i="9"/>
  <c r="I45" i="9"/>
  <c r="I40" i="9"/>
  <c r="I41" i="9"/>
  <c r="I42" i="9"/>
  <c r="I29" i="9"/>
  <c r="I47" i="9"/>
  <c r="I44" i="9"/>
  <c r="I49" i="9"/>
  <c r="I48" i="9"/>
  <c r="J26" i="15"/>
  <c r="I26" i="15"/>
  <c r="K26" i="15" s="1"/>
  <c r="E26" i="15"/>
  <c r="C26" i="15"/>
  <c r="I25" i="15"/>
  <c r="K25" i="15" s="1"/>
  <c r="E25" i="15"/>
  <c r="C25" i="15"/>
  <c r="I24" i="15"/>
  <c r="K24" i="15" s="1"/>
  <c r="E24" i="15"/>
  <c r="C24" i="15"/>
  <c r="K23" i="15"/>
  <c r="I23" i="15"/>
  <c r="J23" i="15" s="1"/>
  <c r="E23" i="15"/>
  <c r="C23" i="15"/>
  <c r="K22" i="15"/>
  <c r="J22" i="15"/>
  <c r="I22" i="15"/>
  <c r="E22" i="15"/>
  <c r="C22" i="15"/>
  <c r="I21" i="15"/>
  <c r="K21" i="15" s="1"/>
  <c r="E21" i="15"/>
  <c r="C21" i="15"/>
  <c r="I20" i="15"/>
  <c r="K20" i="15" s="1"/>
  <c r="E20" i="15"/>
  <c r="C20" i="15"/>
  <c r="I19" i="15"/>
  <c r="J19" i="15" s="1"/>
  <c r="E19" i="15"/>
  <c r="C19" i="15"/>
  <c r="K18" i="15"/>
  <c r="J18" i="15"/>
  <c r="I18" i="15"/>
  <c r="E18" i="15"/>
  <c r="C18" i="15"/>
  <c r="I17" i="15"/>
  <c r="K17" i="15"/>
  <c r="J17" i="15"/>
  <c r="E17" i="15"/>
  <c r="C17" i="15"/>
  <c r="K16" i="15"/>
  <c r="J16" i="15"/>
  <c r="I16" i="15"/>
  <c r="E16" i="15"/>
  <c r="C16" i="15"/>
  <c r="I15" i="15"/>
  <c r="K15" i="15" s="1"/>
  <c r="E15" i="15"/>
  <c r="C15" i="15"/>
  <c r="I14" i="15"/>
  <c r="K14" i="15" s="1"/>
  <c r="E14" i="15"/>
  <c r="C14" i="15"/>
  <c r="K13" i="15"/>
  <c r="I13" i="15"/>
  <c r="J13" i="15" s="1"/>
  <c r="E13" i="15"/>
  <c r="C13" i="15"/>
  <c r="I12" i="15"/>
  <c r="J12" i="15" s="1"/>
  <c r="E12" i="15"/>
  <c r="C12" i="15"/>
  <c r="I11" i="15"/>
  <c r="K11" i="15" s="1"/>
  <c r="E11" i="15"/>
  <c r="C11" i="15"/>
  <c r="J10" i="15"/>
  <c r="I10" i="15"/>
  <c r="K10" i="15" s="1"/>
  <c r="E10" i="15"/>
  <c r="C10" i="15"/>
  <c r="I9" i="15"/>
  <c r="K9" i="15" s="1"/>
  <c r="E9" i="15"/>
  <c r="C9" i="15"/>
  <c r="I8" i="15"/>
  <c r="K8" i="15" s="1"/>
  <c r="E8" i="15"/>
  <c r="C8" i="15"/>
  <c r="I7" i="15"/>
  <c r="K7" i="15" s="1"/>
  <c r="E7" i="15"/>
  <c r="C7" i="15"/>
  <c r="I6" i="15"/>
  <c r="K6" i="15" s="1"/>
  <c r="E6" i="15"/>
  <c r="C6" i="15"/>
  <c r="I5" i="15"/>
  <c r="J5" i="15" s="1"/>
  <c r="E5" i="15"/>
  <c r="C5" i="15"/>
  <c r="I4" i="15"/>
  <c r="J4" i="15" s="1"/>
  <c r="E4" i="15"/>
  <c r="C4" i="15"/>
  <c r="K19" i="15" l="1"/>
  <c r="J20" i="15"/>
  <c r="K4" i="15"/>
  <c r="K12" i="15"/>
  <c r="J8" i="15"/>
  <c r="J24" i="15"/>
  <c r="J9" i="15"/>
  <c r="J6" i="15"/>
  <c r="J14" i="15"/>
  <c r="K5" i="15"/>
  <c r="J7" i="15"/>
  <c r="J11" i="15"/>
  <c r="J15" i="15"/>
  <c r="J21" i="15"/>
  <c r="J25" i="15"/>
  <c r="H17" i="14"/>
  <c r="G17" i="14"/>
  <c r="H30" i="9" l="1"/>
  <c r="H16" i="9"/>
  <c r="H10" i="9"/>
  <c r="H21" i="9"/>
  <c r="H20" i="9"/>
  <c r="H4" i="9"/>
  <c r="H11" i="9"/>
  <c r="H8" i="9"/>
  <c r="H13" i="9"/>
  <c r="H32" i="9"/>
  <c r="H37" i="9"/>
  <c r="H5" i="9"/>
  <c r="H34" i="9"/>
  <c r="H43" i="9"/>
  <c r="H31" i="9"/>
  <c r="H18" i="9"/>
  <c r="H27" i="9"/>
  <c r="H15" i="9"/>
  <c r="H24" i="9"/>
  <c r="H19" i="9"/>
  <c r="H12" i="9"/>
  <c r="H25" i="9"/>
  <c r="H39" i="9"/>
  <c r="H22" i="9"/>
  <c r="H23" i="9"/>
  <c r="H45" i="9"/>
  <c r="H9" i="9"/>
  <c r="H40" i="9"/>
  <c r="H46" i="9"/>
  <c r="H28" i="9"/>
  <c r="H6" i="9"/>
  <c r="H29" i="9"/>
  <c r="H41" i="9"/>
  <c r="H36" i="9"/>
  <c r="H38" i="9"/>
  <c r="H33" i="9"/>
  <c r="H14" i="9"/>
  <c r="H17" i="9"/>
  <c r="H7" i="9"/>
  <c r="H47" i="9"/>
  <c r="H49" i="9"/>
  <c r="H35" i="9"/>
  <c r="H26" i="9"/>
  <c r="H44" i="9"/>
  <c r="H42" i="9"/>
  <c r="H48" i="9"/>
  <c r="I26" i="14"/>
  <c r="K26" i="14" s="1"/>
  <c r="E26" i="14"/>
  <c r="C26" i="14"/>
  <c r="I25" i="14"/>
  <c r="K25" i="14" s="1"/>
  <c r="E25" i="14"/>
  <c r="C25" i="14"/>
  <c r="I24" i="14"/>
  <c r="J24" i="14" s="1"/>
  <c r="K24" i="14"/>
  <c r="E24" i="14"/>
  <c r="C24" i="14"/>
  <c r="I23" i="14"/>
  <c r="K23" i="14" s="1"/>
  <c r="E23" i="14"/>
  <c r="C23" i="14"/>
  <c r="I22" i="14"/>
  <c r="K22" i="14" s="1"/>
  <c r="E22" i="14"/>
  <c r="C22" i="14"/>
  <c r="I21" i="14"/>
  <c r="K21" i="14" s="1"/>
  <c r="E21" i="14"/>
  <c r="C21" i="14"/>
  <c r="I20" i="14"/>
  <c r="K20" i="14" s="1"/>
  <c r="E20" i="14"/>
  <c r="C20" i="14"/>
  <c r="I19" i="14"/>
  <c r="K19" i="14" s="1"/>
  <c r="E19" i="14"/>
  <c r="C19" i="14"/>
  <c r="I18" i="14"/>
  <c r="K18" i="14" s="1"/>
  <c r="E18" i="14"/>
  <c r="C18" i="14"/>
  <c r="I17" i="14"/>
  <c r="J17" i="14" s="1"/>
  <c r="E17" i="14"/>
  <c r="C17" i="14"/>
  <c r="I16" i="14"/>
  <c r="J16" i="14" s="1"/>
  <c r="E16" i="14"/>
  <c r="C16" i="14"/>
  <c r="I15" i="14"/>
  <c r="K15" i="14" s="1"/>
  <c r="E15" i="14"/>
  <c r="C15" i="14"/>
  <c r="I14" i="14"/>
  <c r="K14" i="14" s="1"/>
  <c r="E14" i="14"/>
  <c r="C14" i="14"/>
  <c r="I13" i="14"/>
  <c r="K13" i="14" s="1"/>
  <c r="E13" i="14"/>
  <c r="C13" i="14"/>
  <c r="I12" i="14"/>
  <c r="J12" i="14" s="1"/>
  <c r="E12" i="14"/>
  <c r="C12" i="14"/>
  <c r="I11" i="14"/>
  <c r="K11" i="14" s="1"/>
  <c r="E11" i="14"/>
  <c r="C11" i="14"/>
  <c r="I10" i="14"/>
  <c r="K10" i="14" s="1"/>
  <c r="E10" i="14"/>
  <c r="C10" i="14"/>
  <c r="I9" i="14"/>
  <c r="J9" i="14" s="1"/>
  <c r="E9" i="14"/>
  <c r="C9" i="14"/>
  <c r="I8" i="14"/>
  <c r="J8" i="14" s="1"/>
  <c r="E8" i="14"/>
  <c r="C8" i="14"/>
  <c r="I7" i="14"/>
  <c r="K7" i="14" s="1"/>
  <c r="E7" i="14"/>
  <c r="C7" i="14"/>
  <c r="I6" i="14"/>
  <c r="K6" i="14" s="1"/>
  <c r="E6" i="14"/>
  <c r="C6" i="14"/>
  <c r="I5" i="14"/>
  <c r="J5" i="14" s="1"/>
  <c r="E5" i="14"/>
  <c r="C5" i="14"/>
  <c r="I4" i="14"/>
  <c r="J4" i="14" s="1"/>
  <c r="E4" i="14"/>
  <c r="C4" i="14"/>
  <c r="J26" i="14" l="1"/>
  <c r="K16" i="14"/>
  <c r="K4" i="14"/>
  <c r="K5" i="14"/>
  <c r="J10" i="14"/>
  <c r="J13" i="14"/>
  <c r="J20" i="14"/>
  <c r="J21" i="14"/>
  <c r="K17" i="14"/>
  <c r="K8" i="14"/>
  <c r="K9" i="14"/>
  <c r="K12" i="14"/>
  <c r="J14" i="14"/>
  <c r="J18" i="14"/>
  <c r="J22" i="14"/>
  <c r="J6" i="14"/>
  <c r="J7" i="14"/>
  <c r="J11" i="14"/>
  <c r="J15" i="14"/>
  <c r="J19" i="14"/>
  <c r="J23" i="14"/>
  <c r="J25" i="14"/>
  <c r="H24" i="12" l="1"/>
  <c r="G24" i="12"/>
  <c r="G10" i="9" l="1"/>
  <c r="G43" i="9"/>
  <c r="G24" i="9"/>
  <c r="G16" i="9"/>
  <c r="G40" i="9"/>
  <c r="G30" i="9"/>
  <c r="G20" i="9"/>
  <c r="G27" i="9"/>
  <c r="G11" i="9"/>
  <c r="G19" i="9"/>
  <c r="G4" i="9"/>
  <c r="G6" i="9"/>
  <c r="G8" i="9"/>
  <c r="G9" i="9"/>
  <c r="G18" i="9"/>
  <c r="G34" i="9"/>
  <c r="G47" i="9"/>
  <c r="G21" i="9"/>
  <c r="G13" i="9"/>
  <c r="G36" i="9"/>
  <c r="G29" i="9"/>
  <c r="G32" i="9"/>
  <c r="G5" i="9"/>
  <c r="G25" i="9"/>
  <c r="G14" i="9"/>
  <c r="G46" i="9"/>
  <c r="G31" i="9"/>
  <c r="G7" i="9"/>
  <c r="G38" i="9"/>
  <c r="G22" i="9"/>
  <c r="G45" i="9"/>
  <c r="G17" i="9"/>
  <c r="G35" i="9"/>
  <c r="G37" i="9"/>
  <c r="G33" i="9"/>
  <c r="G41" i="9"/>
  <c r="G15" i="9"/>
  <c r="G26" i="9"/>
  <c r="G49" i="9"/>
  <c r="G23" i="9"/>
  <c r="G39" i="9"/>
  <c r="G44" i="9"/>
  <c r="G48" i="9"/>
  <c r="G12" i="9"/>
  <c r="G42" i="9"/>
  <c r="G28" i="9"/>
  <c r="I26" i="12"/>
  <c r="K26" i="12" s="1"/>
  <c r="E26" i="12"/>
  <c r="C26" i="12"/>
  <c r="I25" i="12"/>
  <c r="K25" i="12" s="1"/>
  <c r="E25" i="12"/>
  <c r="C25" i="12"/>
  <c r="I24" i="12"/>
  <c r="K24" i="12" s="1"/>
  <c r="E24" i="12"/>
  <c r="C24" i="12"/>
  <c r="K23" i="12"/>
  <c r="I23" i="12"/>
  <c r="J23" i="12" s="1"/>
  <c r="E23" i="12"/>
  <c r="C23" i="12"/>
  <c r="E22" i="12"/>
  <c r="C22" i="12"/>
  <c r="K21" i="12"/>
  <c r="I21" i="12"/>
  <c r="J21" i="12" s="1"/>
  <c r="E21" i="12"/>
  <c r="C21" i="12"/>
  <c r="K20" i="12"/>
  <c r="J20" i="12"/>
  <c r="I20" i="12"/>
  <c r="E20" i="12"/>
  <c r="C20" i="12"/>
  <c r="I19" i="12"/>
  <c r="K19" i="12" s="1"/>
  <c r="E19" i="12"/>
  <c r="C19" i="12"/>
  <c r="I18" i="12"/>
  <c r="K18" i="12" s="1"/>
  <c r="E18" i="12"/>
  <c r="C18" i="12"/>
  <c r="I17" i="12"/>
  <c r="J17" i="12" s="1"/>
  <c r="E17" i="12"/>
  <c r="C17" i="12"/>
  <c r="K16" i="12"/>
  <c r="I16" i="12"/>
  <c r="J16" i="12" s="1"/>
  <c r="E16" i="12"/>
  <c r="C16" i="12"/>
  <c r="I15" i="12"/>
  <c r="K15" i="12" s="1"/>
  <c r="E15" i="12"/>
  <c r="C15" i="12"/>
  <c r="I14" i="12"/>
  <c r="K14" i="12" s="1"/>
  <c r="E14" i="12"/>
  <c r="C14" i="12"/>
  <c r="K13" i="12"/>
  <c r="I13" i="12"/>
  <c r="J13" i="12" s="1"/>
  <c r="E13" i="12"/>
  <c r="C13" i="12"/>
  <c r="K12" i="12"/>
  <c r="I12" i="12"/>
  <c r="J12" i="12" s="1"/>
  <c r="E12" i="12"/>
  <c r="C12" i="12"/>
  <c r="I11" i="12"/>
  <c r="K11" i="12" s="1"/>
  <c r="E11" i="12"/>
  <c r="C11" i="12"/>
  <c r="I10" i="12"/>
  <c r="K10" i="12" s="1"/>
  <c r="E10" i="12"/>
  <c r="C10" i="12"/>
  <c r="I9" i="12"/>
  <c r="J9" i="12" s="1"/>
  <c r="E9" i="12"/>
  <c r="C9" i="12"/>
  <c r="J8" i="12"/>
  <c r="I8" i="12"/>
  <c r="K8" i="12" s="1"/>
  <c r="E8" i="12"/>
  <c r="C8" i="12"/>
  <c r="I7" i="12"/>
  <c r="K7" i="12" s="1"/>
  <c r="E7" i="12"/>
  <c r="C7" i="12"/>
  <c r="J6" i="12"/>
  <c r="I6" i="12"/>
  <c r="K6" i="12" s="1"/>
  <c r="E6" i="12"/>
  <c r="C6" i="12"/>
  <c r="K5" i="12"/>
  <c r="I5" i="12"/>
  <c r="J5" i="12" s="1"/>
  <c r="E5" i="12"/>
  <c r="C5" i="12"/>
  <c r="K4" i="12"/>
  <c r="I4" i="12"/>
  <c r="J4" i="12" s="1"/>
  <c r="E4" i="12"/>
  <c r="C4" i="12"/>
  <c r="H22" i="2"/>
  <c r="G22" i="2"/>
  <c r="J14" i="12" l="1"/>
  <c r="K9" i="12"/>
  <c r="J10" i="12"/>
  <c r="J24" i="12"/>
  <c r="K17" i="12"/>
  <c r="J18" i="12"/>
  <c r="J7" i="12"/>
  <c r="J11" i="12"/>
  <c r="J15" i="12"/>
  <c r="J19" i="12"/>
  <c r="I22" i="12"/>
  <c r="K22" i="12" s="1"/>
  <c r="J25" i="12"/>
  <c r="J26" i="12"/>
  <c r="F10" i="9"/>
  <c r="F43" i="9"/>
  <c r="F24" i="9"/>
  <c r="F40" i="9"/>
  <c r="F30" i="9"/>
  <c r="F20" i="9"/>
  <c r="F27" i="9"/>
  <c r="F11" i="9"/>
  <c r="F19" i="9"/>
  <c r="F4" i="9"/>
  <c r="F8" i="9"/>
  <c r="F9" i="9"/>
  <c r="F18" i="9"/>
  <c r="F47" i="9"/>
  <c r="F21" i="9"/>
  <c r="F13" i="9"/>
  <c r="F29" i="9"/>
  <c r="F32" i="9"/>
  <c r="F5" i="9"/>
  <c r="F25" i="9"/>
  <c r="F14" i="9"/>
  <c r="F46" i="9"/>
  <c r="F7" i="9"/>
  <c r="F38" i="9"/>
  <c r="F22" i="9"/>
  <c r="F17" i="9"/>
  <c r="F35" i="9"/>
  <c r="F37" i="9"/>
  <c r="F41" i="9"/>
  <c r="F15" i="9"/>
  <c r="F26" i="9"/>
  <c r="F49" i="9"/>
  <c r="F23" i="9"/>
  <c r="F39" i="9"/>
  <c r="F44" i="9"/>
  <c r="F12" i="9"/>
  <c r="F45" i="9"/>
  <c r="F48" i="9"/>
  <c r="F31" i="9"/>
  <c r="F33" i="9"/>
  <c r="F16" i="9"/>
  <c r="F36" i="9"/>
  <c r="F6" i="9"/>
  <c r="F34" i="9"/>
  <c r="F42" i="9"/>
  <c r="F28" i="9"/>
  <c r="J22" i="12" l="1"/>
  <c r="K20" i="2"/>
  <c r="K25" i="2"/>
  <c r="J20" i="2"/>
  <c r="J25" i="2"/>
  <c r="I26" i="2" l="1"/>
  <c r="E26" i="2"/>
  <c r="C26" i="2"/>
  <c r="I25" i="2"/>
  <c r="E25" i="2"/>
  <c r="C25" i="2"/>
  <c r="I24" i="2"/>
  <c r="E24" i="2"/>
  <c r="C24" i="2"/>
  <c r="I23" i="2"/>
  <c r="E23" i="2"/>
  <c r="C23" i="2"/>
  <c r="I22" i="2"/>
  <c r="E22" i="2"/>
  <c r="C22" i="2"/>
  <c r="I21" i="2"/>
  <c r="E21" i="2"/>
  <c r="C21" i="2"/>
  <c r="I20" i="2"/>
  <c r="E20" i="2"/>
  <c r="C20" i="2"/>
  <c r="I19" i="2"/>
  <c r="E19" i="2"/>
  <c r="C19" i="2"/>
  <c r="I18" i="2"/>
  <c r="E18" i="2"/>
  <c r="C18" i="2"/>
  <c r="I17" i="2"/>
  <c r="E17" i="2"/>
  <c r="C17" i="2"/>
  <c r="I16" i="2"/>
  <c r="E16" i="2"/>
  <c r="C16" i="2"/>
  <c r="I15" i="2"/>
  <c r="E15" i="2"/>
  <c r="C15" i="2"/>
  <c r="I14" i="2"/>
  <c r="E14" i="2"/>
  <c r="C14" i="2"/>
  <c r="I13" i="2"/>
  <c r="E13" i="2"/>
  <c r="C13" i="2"/>
  <c r="D49" i="9"/>
  <c r="D11" i="9"/>
  <c r="D44" i="9"/>
  <c r="D39" i="9"/>
  <c r="D22" i="9"/>
  <c r="D20" i="9"/>
  <c r="D15" i="9"/>
  <c r="D38" i="9"/>
  <c r="D8" i="9"/>
  <c r="D17" i="9"/>
  <c r="D12" i="9"/>
  <c r="D5" i="9"/>
  <c r="D31" i="9"/>
  <c r="D32" i="9"/>
  <c r="D40" i="9"/>
  <c r="D9" i="9"/>
  <c r="D33" i="9"/>
  <c r="D16" i="9"/>
  <c r="D28" i="9"/>
  <c r="D25" i="9"/>
  <c r="D36" i="9"/>
  <c r="D6" i="9"/>
  <c r="D37" i="9"/>
  <c r="D34" i="9"/>
  <c r="D21" i="9"/>
  <c r="D29" i="9"/>
  <c r="D13" i="9"/>
  <c r="D41" i="9"/>
  <c r="D24" i="9"/>
  <c r="D14" i="9"/>
  <c r="T17" i="9" l="1"/>
  <c r="U17" i="9"/>
  <c r="T11" i="9"/>
  <c r="U11" i="9"/>
  <c r="T24" i="9"/>
  <c r="U24" i="9"/>
  <c r="T21" i="9"/>
  <c r="U21" i="9"/>
  <c r="T36" i="9"/>
  <c r="U36" i="9"/>
  <c r="T33" i="9"/>
  <c r="U33" i="9"/>
  <c r="T31" i="9"/>
  <c r="U31" i="9"/>
  <c r="T8" i="9"/>
  <c r="U8" i="9"/>
  <c r="T22" i="9"/>
  <c r="U22" i="9"/>
  <c r="T49" i="9"/>
  <c r="U49" i="9"/>
  <c r="T14" i="9"/>
  <c r="U14" i="9"/>
  <c r="T32" i="9"/>
  <c r="U32" i="9"/>
  <c r="T41" i="9"/>
  <c r="U41" i="9"/>
  <c r="T25" i="9"/>
  <c r="U25" i="9"/>
  <c r="T9" i="9"/>
  <c r="U9" i="9"/>
  <c r="T38" i="9"/>
  <c r="U38" i="9"/>
  <c r="T39" i="9"/>
  <c r="U39" i="9"/>
  <c r="T29" i="9"/>
  <c r="U29" i="9"/>
  <c r="T16" i="9"/>
  <c r="U16" i="9"/>
  <c r="T20" i="9"/>
  <c r="U20" i="9"/>
  <c r="T34" i="9"/>
  <c r="U34" i="9"/>
  <c r="T13" i="9"/>
  <c r="U13" i="9"/>
  <c r="T37" i="9"/>
  <c r="U37" i="9"/>
  <c r="T28" i="9"/>
  <c r="U28" i="9"/>
  <c r="T40" i="9"/>
  <c r="U40" i="9"/>
  <c r="T12" i="9"/>
  <c r="U12" i="9"/>
  <c r="T15" i="9"/>
  <c r="U15" i="9"/>
  <c r="T44" i="9"/>
  <c r="U44" i="9"/>
  <c r="R6" i="9"/>
  <c r="S17" i="9"/>
  <c r="R17" i="9"/>
  <c r="S36" i="9"/>
  <c r="R36" i="9"/>
  <c r="S22" i="9"/>
  <c r="R22" i="9"/>
  <c r="S29" i="9"/>
  <c r="R29" i="9"/>
  <c r="R16" i="9"/>
  <c r="S16" i="9"/>
  <c r="R20" i="9"/>
  <c r="S20" i="9"/>
  <c r="S21" i="9"/>
  <c r="R21" i="9"/>
  <c r="R8" i="9"/>
  <c r="R41" i="9"/>
  <c r="S41" i="9"/>
  <c r="R34" i="9"/>
  <c r="S34" i="9"/>
  <c r="R25" i="9"/>
  <c r="S25" i="9"/>
  <c r="R9" i="9"/>
  <c r="R5" i="9"/>
  <c r="R38" i="9"/>
  <c r="S38" i="9"/>
  <c r="S39" i="9"/>
  <c r="R39" i="9"/>
  <c r="R14" i="9"/>
  <c r="S14" i="9"/>
  <c r="S32" i="9"/>
  <c r="R32" i="9"/>
  <c r="R11" i="9"/>
  <c r="S24" i="9"/>
  <c r="R24" i="9"/>
  <c r="S33" i="9"/>
  <c r="R33" i="9"/>
  <c r="R31" i="9"/>
  <c r="S31" i="9"/>
  <c r="S49" i="9"/>
  <c r="R49" i="9"/>
  <c r="S13" i="9"/>
  <c r="R13" i="9"/>
  <c r="S37" i="9"/>
  <c r="R37" i="9"/>
  <c r="S28" i="9"/>
  <c r="R28" i="9"/>
  <c r="R40" i="9"/>
  <c r="S40" i="9"/>
  <c r="R12" i="9"/>
  <c r="S12" i="9"/>
  <c r="R15" i="9"/>
  <c r="S15" i="9"/>
  <c r="R44" i="9"/>
  <c r="S44" i="9"/>
  <c r="Q13" i="9"/>
  <c r="Q12" i="9"/>
  <c r="Q14" i="9"/>
  <c r="Q6" i="9"/>
  <c r="Q16" i="9"/>
  <c r="Q32" i="9"/>
  <c r="Q17" i="9"/>
  <c r="Q20" i="9"/>
  <c r="Q11" i="9"/>
  <c r="Q28" i="9"/>
  <c r="Q15" i="9"/>
  <c r="Q24" i="9"/>
  <c r="Q36" i="9"/>
  <c r="Q31" i="9"/>
  <c r="Q8" i="9"/>
  <c r="Q22" i="9"/>
  <c r="Q49" i="9"/>
  <c r="Q37" i="9"/>
  <c r="Q40" i="9"/>
  <c r="Q29" i="9"/>
  <c r="Q21" i="9"/>
  <c r="Q33" i="9"/>
  <c r="Q41" i="9"/>
  <c r="Q34" i="9"/>
  <c r="Q25" i="9"/>
  <c r="Q9" i="9"/>
  <c r="Q5" i="9"/>
  <c r="Q38" i="9"/>
  <c r="Q39" i="9"/>
  <c r="Q44" i="9"/>
  <c r="O14" i="9"/>
  <c r="P14" i="9"/>
  <c r="O6" i="9"/>
  <c r="P6" i="9"/>
  <c r="O32" i="9"/>
  <c r="P32" i="9"/>
  <c r="O20" i="9"/>
  <c r="P20" i="9"/>
  <c r="O24" i="9"/>
  <c r="P24" i="9"/>
  <c r="O36" i="9"/>
  <c r="P36" i="9"/>
  <c r="O31" i="9"/>
  <c r="P31" i="9"/>
  <c r="O22" i="9"/>
  <c r="P22" i="9"/>
  <c r="O41" i="9"/>
  <c r="P41" i="9"/>
  <c r="O34" i="9"/>
  <c r="P34" i="9"/>
  <c r="O25" i="9"/>
  <c r="P25" i="9"/>
  <c r="O9" i="9"/>
  <c r="P9" i="9"/>
  <c r="O5" i="9"/>
  <c r="P5" i="9"/>
  <c r="O38" i="9"/>
  <c r="P38" i="9"/>
  <c r="O39" i="9"/>
  <c r="P39" i="9"/>
  <c r="O29" i="9"/>
  <c r="P29" i="9"/>
  <c r="O16" i="9"/>
  <c r="P16" i="9"/>
  <c r="O17" i="9"/>
  <c r="P17" i="9"/>
  <c r="O11" i="9"/>
  <c r="P11" i="9"/>
  <c r="O21" i="9"/>
  <c r="P21" i="9"/>
  <c r="O33" i="9"/>
  <c r="P33" i="9"/>
  <c r="O8" i="9"/>
  <c r="P8" i="9"/>
  <c r="O49" i="9"/>
  <c r="P49" i="9"/>
  <c r="O13" i="9"/>
  <c r="P13" i="9"/>
  <c r="O37" i="9"/>
  <c r="P37" i="9"/>
  <c r="O28" i="9"/>
  <c r="P28" i="9"/>
  <c r="O40" i="9"/>
  <c r="P40" i="9"/>
  <c r="O12" i="9"/>
  <c r="P12" i="9"/>
  <c r="O15" i="9"/>
  <c r="P15" i="9"/>
  <c r="O44" i="9"/>
  <c r="P44" i="9"/>
  <c r="J22" i="2"/>
  <c r="K22" i="2"/>
  <c r="J19" i="2"/>
  <c r="K19" i="2"/>
  <c r="J13" i="2"/>
  <c r="K13" i="2"/>
  <c r="J21" i="2"/>
  <c r="K21" i="2"/>
  <c r="J14" i="2"/>
  <c r="K14" i="2"/>
  <c r="J18" i="2"/>
  <c r="K18" i="2"/>
  <c r="J26" i="2"/>
  <c r="K26" i="2"/>
  <c r="J24" i="2"/>
  <c r="K24" i="2"/>
  <c r="J23" i="2"/>
  <c r="K23" i="2"/>
  <c r="J15" i="2"/>
  <c r="K15" i="2"/>
  <c r="J16" i="2"/>
  <c r="K16" i="2"/>
  <c r="J17" i="2"/>
  <c r="K17" i="2"/>
  <c r="D19" i="9"/>
  <c r="D18" i="9"/>
  <c r="D42" i="9"/>
  <c r="D7" i="9"/>
  <c r="D45" i="9"/>
  <c r="D43" i="9"/>
  <c r="D4" i="9"/>
  <c r="D27" i="9"/>
  <c r="D10" i="9"/>
  <c r="D48" i="9"/>
  <c r="D26" i="9"/>
  <c r="D35" i="9"/>
  <c r="D46" i="9"/>
  <c r="D30" i="9"/>
  <c r="D47" i="9"/>
  <c r="D23" i="9"/>
  <c r="E4" i="2"/>
  <c r="E5" i="2"/>
  <c r="E6" i="2"/>
  <c r="E7" i="2"/>
  <c r="E8" i="2"/>
  <c r="E9" i="2"/>
  <c r="E10" i="2"/>
  <c r="E11" i="2"/>
  <c r="E12" i="2"/>
  <c r="C5" i="2"/>
  <c r="C6" i="2"/>
  <c r="C7" i="2"/>
  <c r="C8" i="2"/>
  <c r="C9" i="2"/>
  <c r="C10" i="2"/>
  <c r="C11" i="2"/>
  <c r="C12" i="2"/>
  <c r="C4" i="2"/>
  <c r="I5" i="2"/>
  <c r="I6" i="2"/>
  <c r="I7" i="2"/>
  <c r="I8" i="2"/>
  <c r="I9" i="2"/>
  <c r="I10" i="2"/>
  <c r="I11" i="2"/>
  <c r="I12" i="2"/>
  <c r="I4" i="2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44" i="11"/>
  <c r="D45" i="11"/>
  <c r="D46" i="11"/>
  <c r="D47" i="11"/>
  <c r="D48" i="11"/>
  <c r="D49" i="11"/>
  <c r="D50" i="11"/>
  <c r="D51" i="11"/>
  <c r="D52" i="11"/>
  <c r="D53" i="11"/>
  <c r="D54" i="11"/>
  <c r="D55" i="11"/>
  <c r="D56" i="11"/>
  <c r="D57" i="11"/>
  <c r="D58" i="11"/>
  <c r="D59" i="11"/>
  <c r="D60" i="11"/>
  <c r="D61" i="11"/>
  <c r="D62" i="11"/>
  <c r="D63" i="11"/>
  <c r="D64" i="11"/>
  <c r="D65" i="11"/>
  <c r="D66" i="11"/>
  <c r="D67" i="11"/>
  <c r="D68" i="11"/>
  <c r="D69" i="11"/>
  <c r="D70" i="11"/>
  <c r="D71" i="11"/>
  <c r="D72" i="11"/>
  <c r="D73" i="11"/>
  <c r="D6" i="11"/>
  <c r="T47" i="9" l="1"/>
  <c r="U47" i="9"/>
  <c r="T26" i="9"/>
  <c r="U26" i="9"/>
  <c r="T42" i="9"/>
  <c r="U42" i="9"/>
  <c r="T30" i="9"/>
  <c r="U30" i="9"/>
  <c r="T48" i="9"/>
  <c r="U48" i="9"/>
  <c r="T43" i="9"/>
  <c r="U43" i="9"/>
  <c r="T18" i="9"/>
  <c r="U18" i="9"/>
  <c r="T46" i="9"/>
  <c r="U46" i="9"/>
  <c r="T10" i="9"/>
  <c r="U10" i="9"/>
  <c r="T45" i="9"/>
  <c r="U45" i="9"/>
  <c r="T19" i="9"/>
  <c r="U19" i="9"/>
  <c r="T23" i="9"/>
  <c r="U23" i="9"/>
  <c r="T35" i="9"/>
  <c r="U35" i="9"/>
  <c r="T27" i="9"/>
  <c r="U27" i="9"/>
  <c r="S46" i="9"/>
  <c r="R46" i="9"/>
  <c r="S45" i="9"/>
  <c r="R45" i="9"/>
  <c r="S19" i="9"/>
  <c r="R19" i="9"/>
  <c r="S30" i="9"/>
  <c r="R30" i="9"/>
  <c r="S48" i="9"/>
  <c r="R48" i="9"/>
  <c r="S43" i="9"/>
  <c r="R43" i="9"/>
  <c r="S18" i="9"/>
  <c r="R18" i="9"/>
  <c r="S23" i="9"/>
  <c r="R23" i="9"/>
  <c r="S35" i="9"/>
  <c r="R35" i="9"/>
  <c r="R27" i="9"/>
  <c r="S27" i="9"/>
  <c r="R7" i="9"/>
  <c r="R10" i="9"/>
  <c r="S47" i="9"/>
  <c r="R47" i="9"/>
  <c r="S26" i="9"/>
  <c r="R26" i="9"/>
  <c r="R4" i="9"/>
  <c r="R42" i="9"/>
  <c r="S42" i="9"/>
  <c r="Q35" i="9"/>
  <c r="Q7" i="9"/>
  <c r="Q23" i="9"/>
  <c r="Q27" i="9"/>
  <c r="Q26" i="9"/>
  <c r="Q42" i="9"/>
  <c r="Q48" i="9"/>
  <c r="Q43" i="9"/>
  <c r="Q18" i="9"/>
  <c r="Q47" i="9"/>
  <c r="Q4" i="9"/>
  <c r="Q30" i="9"/>
  <c r="Q46" i="9"/>
  <c r="Q10" i="9"/>
  <c r="Q45" i="9"/>
  <c r="Q19" i="9"/>
  <c r="O23" i="9"/>
  <c r="P23" i="9"/>
  <c r="O30" i="9"/>
  <c r="P30" i="9"/>
  <c r="O43" i="9"/>
  <c r="P43" i="9"/>
  <c r="O18" i="9"/>
  <c r="P18" i="9"/>
  <c r="O35" i="9"/>
  <c r="P35" i="9"/>
  <c r="O27" i="9"/>
  <c r="P27" i="9"/>
  <c r="O7" i="9"/>
  <c r="P7" i="9"/>
  <c r="O47" i="9"/>
  <c r="P47" i="9"/>
  <c r="O26" i="9"/>
  <c r="P26" i="9"/>
  <c r="O4" i="9"/>
  <c r="P4" i="9"/>
  <c r="O42" i="9"/>
  <c r="P42" i="9"/>
  <c r="O48" i="9"/>
  <c r="P48" i="9"/>
  <c r="O46" i="9"/>
  <c r="P46" i="9"/>
  <c r="O10" i="9"/>
  <c r="P10" i="9"/>
  <c r="O45" i="9"/>
  <c r="P45" i="9"/>
  <c r="O19" i="9"/>
  <c r="P19" i="9"/>
  <c r="J9" i="2"/>
  <c r="K9" i="2"/>
  <c r="J12" i="2"/>
  <c r="K12" i="2"/>
  <c r="J11" i="2"/>
  <c r="K11" i="2"/>
  <c r="J8" i="2"/>
  <c r="K8" i="2"/>
  <c r="J10" i="2"/>
  <c r="K10" i="2"/>
  <c r="J6" i="2"/>
  <c r="K6" i="2"/>
  <c r="J4" i="2"/>
  <c r="K4" i="2"/>
  <c r="J7" i="2"/>
  <c r="K7" i="2"/>
  <c r="J5" i="2"/>
  <c r="K5" i="2"/>
  <c r="N39" i="9"/>
  <c r="N12" i="9"/>
  <c r="N38" i="9"/>
  <c r="N11" i="9"/>
  <c r="N20" i="9"/>
  <c r="N33" i="9"/>
  <c r="N5" i="9"/>
  <c r="N44" i="9"/>
  <c r="N40" i="9"/>
  <c r="N16" i="9"/>
  <c r="N49" i="9"/>
  <c r="N8" i="9"/>
  <c r="N31" i="9"/>
  <c r="N17" i="9"/>
  <c r="N15" i="9"/>
  <c r="N32" i="9"/>
  <c r="N36" i="9"/>
  <c r="N24" i="9"/>
  <c r="N29" i="9"/>
  <c r="N14" i="9"/>
  <c r="N41" i="9"/>
  <c r="N22" i="9"/>
  <c r="N9" i="9"/>
  <c r="N34" i="9"/>
  <c r="N13" i="9"/>
  <c r="N6" i="9"/>
  <c r="N21" i="9"/>
  <c r="N37" i="9"/>
  <c r="E22" i="9" l="1"/>
  <c r="E24" i="9"/>
  <c r="E17" i="9"/>
  <c r="E16" i="9"/>
  <c r="E33" i="9"/>
  <c r="E12" i="9"/>
  <c r="E13" i="9"/>
  <c r="E36" i="9"/>
  <c r="E37" i="9"/>
  <c r="E14" i="9"/>
  <c r="E11" i="9"/>
  <c r="E41" i="9"/>
  <c r="E31" i="9"/>
  <c r="E40" i="9"/>
  <c r="E20" i="9"/>
  <c r="E39" i="9"/>
  <c r="E34" i="9"/>
  <c r="E32" i="9"/>
  <c r="E8" i="9"/>
  <c r="E44" i="9"/>
  <c r="E21" i="9"/>
  <c r="E9" i="9"/>
  <c r="E29" i="9"/>
  <c r="E15" i="9"/>
  <c r="E49" i="9"/>
  <c r="E38" i="9"/>
  <c r="N25" i="9"/>
  <c r="E25" i="9" l="1"/>
  <c r="N35" i="9"/>
  <c r="N27" i="9"/>
  <c r="N46" i="9"/>
  <c r="N48" i="9"/>
  <c r="N4" i="9"/>
  <c r="E27" i="9" l="1"/>
  <c r="E35" i="9"/>
  <c r="E48" i="9"/>
  <c r="E46" i="9"/>
  <c r="N45" i="9"/>
  <c r="N19" i="9"/>
  <c r="N26" i="9"/>
  <c r="N30" i="9"/>
  <c r="N18" i="9"/>
  <c r="N7" i="9"/>
  <c r="N10" i="9"/>
  <c r="N47" i="9"/>
  <c r="N42" i="9"/>
  <c r="N43" i="9"/>
  <c r="N23" i="9"/>
  <c r="N28" i="9"/>
  <c r="E43" i="9" l="1"/>
  <c r="E19" i="9"/>
  <c r="E18" i="9"/>
  <c r="E28" i="9"/>
  <c r="E47" i="9"/>
  <c r="E30" i="9"/>
  <c r="E42" i="9"/>
  <c r="E45" i="9"/>
  <c r="E23" i="9"/>
  <c r="E10" i="9"/>
  <c r="E26" i="9"/>
</calcChain>
</file>

<file path=xl/sharedStrings.xml><?xml version="1.0" encoding="utf-8"?>
<sst xmlns="http://schemas.openxmlformats.org/spreadsheetml/2006/main" count="1027" uniqueCount="757">
  <si>
    <t>IMP 1</t>
  </si>
  <si>
    <t>IMP 2</t>
  </si>
  <si>
    <t>VP 1</t>
  </si>
  <si>
    <t>VP 2</t>
  </si>
  <si>
    <t>IMP Diff</t>
  </si>
  <si>
    <t>vs</t>
  </si>
  <si>
    <t>-</t>
  </si>
  <si>
    <t>GSM</t>
  </si>
  <si>
    <t>Email</t>
  </si>
  <si>
    <t>Team Nr</t>
  </si>
  <si>
    <t>Team Naam</t>
  </si>
  <si>
    <t>Speeldag 1</t>
  </si>
  <si>
    <t>Speeldag 2</t>
  </si>
  <si>
    <t>Speeldag 3</t>
  </si>
  <si>
    <t>Speeldag 4</t>
  </si>
  <si>
    <t>Speeldag 5</t>
  </si>
  <si>
    <t>Winner VP</t>
  </si>
  <si>
    <t>Loser VP</t>
  </si>
  <si>
    <t>Speler 2</t>
  </si>
  <si>
    <t>BBO Alias</t>
  </si>
  <si>
    <t>Alias 2</t>
  </si>
  <si>
    <t>Speler 3</t>
  </si>
  <si>
    <t>Alias 3</t>
  </si>
  <si>
    <t>Speler 4</t>
  </si>
  <si>
    <t>Alias 4</t>
  </si>
  <si>
    <t>VP Scale from WBF for 20 board matches</t>
  </si>
  <si>
    <t>IMP</t>
  </si>
  <si>
    <t>Naam Kapitein</t>
  </si>
  <si>
    <t>Speler 5</t>
  </si>
  <si>
    <t>Alias 5</t>
  </si>
  <si>
    <t>Speler 6</t>
  </si>
  <si>
    <t>Alias 6</t>
  </si>
  <si>
    <t>http://www.worldbridge.org/resources/official-documents/wbf-victory-point-scales/</t>
  </si>
  <si>
    <t>VBL nr</t>
  </si>
  <si>
    <t>VBL 2</t>
  </si>
  <si>
    <t>VBL 3</t>
  </si>
  <si>
    <t>VBL 4</t>
  </si>
  <si>
    <t>VBL 5</t>
  </si>
  <si>
    <t>VBL 6</t>
  </si>
  <si>
    <t>Boeckenberg MK</t>
  </si>
  <si>
    <t>Manu Persoons</t>
  </si>
  <si>
    <t>persoons.emmanuel@skynet.be</t>
  </si>
  <si>
    <t>catanier</t>
  </si>
  <si>
    <t>Marie-Anne Apers</t>
  </si>
  <si>
    <t>cruzz28</t>
  </si>
  <si>
    <t>Marleen Van Laer</t>
  </si>
  <si>
    <t>vlmhei</t>
  </si>
  <si>
    <t>Monique De Jonck</t>
  </si>
  <si>
    <t>de jonck</t>
  </si>
  <si>
    <t>Koen Goedleven</t>
  </si>
  <si>
    <t>goe leven</t>
  </si>
  <si>
    <t>TeamNr</t>
  </si>
  <si>
    <t>G.L.A.M.</t>
  </si>
  <si>
    <t>Geert Christiaens</t>
  </si>
  <si>
    <t>0475 70 79 58</t>
  </si>
  <si>
    <t>0486 07 79 35</t>
  </si>
  <si>
    <t>geert.christiaens2@telenet.be</t>
  </si>
  <si>
    <t>geert1740</t>
  </si>
  <si>
    <t>Leo Groenweghe</t>
  </si>
  <si>
    <t>groeneleoc</t>
  </si>
  <si>
    <t>Armel Lannoy</t>
  </si>
  <si>
    <t>mellewr</t>
  </si>
  <si>
    <t>Micheline Van Lysebeth</t>
  </si>
  <si>
    <t>mickske</t>
  </si>
  <si>
    <t>Geel 2</t>
  </si>
  <si>
    <t>Hendrik Vannuten</t>
  </si>
  <si>
    <t>0476 33 22 65</t>
  </si>
  <si>
    <t>hvannuten@gmail.com</t>
  </si>
  <si>
    <t>RIKBENIN</t>
  </si>
  <si>
    <t>EUGBEL</t>
  </si>
  <si>
    <t>Ivo Corten</t>
  </si>
  <si>
    <t>CORIVO</t>
  </si>
  <si>
    <t>Dis Van Eyck</t>
  </si>
  <si>
    <t>DISWERFTER</t>
  </si>
  <si>
    <t>Eugeen Vannuten</t>
  </si>
  <si>
    <t>De plankierkaarters</t>
  </si>
  <si>
    <t>Roland Demeyer</t>
  </si>
  <si>
    <t>rol.demeyer@telenet.be</t>
  </si>
  <si>
    <t>Frans Thoen</t>
  </si>
  <si>
    <t>Dirk Wellens</t>
  </si>
  <si>
    <t>Marc Depypere</t>
  </si>
  <si>
    <t>Jean De Baets</t>
  </si>
  <si>
    <t>De Wevers</t>
  </si>
  <si>
    <t>Daniël Simoen</t>
  </si>
  <si>
    <t>0472 51 29 61</t>
  </si>
  <si>
    <t>danielsimoen@yahoo.com</t>
  </si>
  <si>
    <t>cyrdan</t>
  </si>
  <si>
    <t>Claude Goemaere</t>
  </si>
  <si>
    <t>goemp</t>
  </si>
  <si>
    <t>Myriam Vanacker</t>
  </si>
  <si>
    <t>myva</t>
  </si>
  <si>
    <t>Herwig Vanhauwaert</t>
  </si>
  <si>
    <t>hvh1</t>
  </si>
  <si>
    <t>Boeckenberg 2</t>
  </si>
  <si>
    <t>Peter Clerbout</t>
  </si>
  <si>
    <t>0479 50 07 21</t>
  </si>
  <si>
    <t>Peter.Clerbout@axi.be</t>
  </si>
  <si>
    <t>pclerbout</t>
  </si>
  <si>
    <t>Luc Verdonck</t>
  </si>
  <si>
    <t>lve001</t>
  </si>
  <si>
    <t>Lieve Luyten</t>
  </si>
  <si>
    <t>luyten1</t>
  </si>
  <si>
    <t>Erik Cools</t>
  </si>
  <si>
    <t>eukaryoot</t>
  </si>
  <si>
    <t>Wim Cools</t>
  </si>
  <si>
    <t>glatori</t>
  </si>
  <si>
    <t>Peter Snelders</t>
  </si>
  <si>
    <t>starbuckps</t>
  </si>
  <si>
    <t>Riviera 9</t>
  </si>
  <si>
    <t>Rob Schutter</t>
  </si>
  <si>
    <t>0475 55 10 34</t>
  </si>
  <si>
    <t>schutter.rob@gmail.com</t>
  </si>
  <si>
    <t>Rob1509</t>
  </si>
  <si>
    <t>Marc Hendrickx</t>
  </si>
  <si>
    <t>Marckus</t>
  </si>
  <si>
    <t>Fred Geldof</t>
  </si>
  <si>
    <t>fredgeldof</t>
  </si>
  <si>
    <t>Rudy Timmermans</t>
  </si>
  <si>
    <t>RHRTIM</t>
  </si>
  <si>
    <t>Diana Heirbaut</t>
  </si>
  <si>
    <t>Cleokeke12</t>
  </si>
  <si>
    <t>Harry Hendrickx</t>
  </si>
  <si>
    <t>turn1947</t>
  </si>
  <si>
    <t>Tom Pousse</t>
  </si>
  <si>
    <t>Vera Van Geete</t>
  </si>
  <si>
    <t>0468 27 23 62</t>
  </si>
  <si>
    <t>vievg11@gmail.com</t>
  </si>
  <si>
    <t>Vievg</t>
  </si>
  <si>
    <t>Diane Jacquet</t>
  </si>
  <si>
    <t>Zenobia4</t>
  </si>
  <si>
    <t>Chantal Van Overmeire</t>
  </si>
  <si>
    <t>Mimine_7</t>
  </si>
  <si>
    <t>Lieve Helsen</t>
  </si>
  <si>
    <t>LieveH25</t>
  </si>
  <si>
    <t>De Cuatros</t>
  </si>
  <si>
    <t>René Guns</t>
  </si>
  <si>
    <t>0496 64 07 22</t>
  </si>
  <si>
    <t>renz.guns@hotmail.com</t>
  </si>
  <si>
    <t>wind2020</t>
  </si>
  <si>
    <t>Luk Brants</t>
  </si>
  <si>
    <t>luk leive</t>
  </si>
  <si>
    <t>Marijke Verbauwen</t>
  </si>
  <si>
    <t>marverbauw</t>
  </si>
  <si>
    <t>Rudi Smits</t>
  </si>
  <si>
    <t>Turelut</t>
  </si>
  <si>
    <t>KATMOTTEPASSE</t>
  </si>
  <si>
    <t>Paul Jacobs</t>
  </si>
  <si>
    <t>0471 82 62 31</t>
  </si>
  <si>
    <t>paul.jacobs9@telenet.be</t>
  </si>
  <si>
    <t>PollekeRoy</t>
  </si>
  <si>
    <t>Guy Van den Eede</t>
  </si>
  <si>
    <t>BowieAce</t>
  </si>
  <si>
    <t>Rita Gielis</t>
  </si>
  <si>
    <t>Rita Elisa</t>
  </si>
  <si>
    <t>Wieland Verbrugghe</t>
  </si>
  <si>
    <t>Willywaal</t>
  </si>
  <si>
    <t>Hilde Kerkhofs</t>
  </si>
  <si>
    <t>HildeKe1</t>
  </si>
  <si>
    <t>Guido Vervaeke</t>
  </si>
  <si>
    <t>guidobibi</t>
  </si>
  <si>
    <t>Meierke</t>
  </si>
  <si>
    <t>cesco55</t>
  </si>
  <si>
    <t>dwellens</t>
  </si>
  <si>
    <t>Mauko</t>
  </si>
  <si>
    <t>guzziv9</t>
  </si>
  <si>
    <t>waezie</t>
  </si>
  <si>
    <t>Kate Van Waes</t>
  </si>
  <si>
    <t>Sandeman 3</t>
  </si>
  <si>
    <t>Marc Casteleyn</t>
  </si>
  <si>
    <t>0477 42 40 18</t>
  </si>
  <si>
    <t>marc.casteleyn@proximus.com</t>
  </si>
  <si>
    <t>MarcCas078</t>
  </si>
  <si>
    <t>Ben Van Den Brande</t>
  </si>
  <si>
    <t>gonzojr</t>
  </si>
  <si>
    <t>Lennart Heip</t>
  </si>
  <si>
    <t>lheip</t>
  </si>
  <si>
    <t>Jan Dobbelaere</t>
  </si>
  <si>
    <t>jandob</t>
  </si>
  <si>
    <t>Koen Vercruysse</t>
  </si>
  <si>
    <t>Koen Vercr</t>
  </si>
  <si>
    <t>Patrick Wens</t>
  </si>
  <si>
    <t>pwens</t>
  </si>
  <si>
    <t>Speler 8</t>
  </si>
  <si>
    <t>VBL 8</t>
  </si>
  <si>
    <t>Alias 8</t>
  </si>
  <si>
    <t>Speler 7</t>
  </si>
  <si>
    <t>VBL 7</t>
  </si>
  <si>
    <t>Alias 7</t>
  </si>
  <si>
    <t>Rosine Vanhulle</t>
  </si>
  <si>
    <t>rosinevanh</t>
  </si>
  <si>
    <t>Martine Kerckhof</t>
  </si>
  <si>
    <t>cimbalou</t>
  </si>
  <si>
    <t>jeweetwelwie</t>
  </si>
  <si>
    <t>Annemie Langhendries</t>
  </si>
  <si>
    <t>0486 42 38 98</t>
  </si>
  <si>
    <t>annemie.langhendries@gmail.com</t>
  </si>
  <si>
    <t>alanghe</t>
  </si>
  <si>
    <t>Danny Cortier</t>
  </si>
  <si>
    <t>dannc</t>
  </si>
  <si>
    <t>Marleen De Smet</t>
  </si>
  <si>
    <t>omadilbeek</t>
  </si>
  <si>
    <t>Eric Vermeersch</t>
  </si>
  <si>
    <t>mieric</t>
  </si>
  <si>
    <t>Mieke Van Rostenberghe</t>
  </si>
  <si>
    <t>Heusden 3</t>
  </si>
  <si>
    <t>0496 61 25 15</t>
  </si>
  <si>
    <t>miekevanrostenberghe@telenet.be</t>
  </si>
  <si>
    <t>Monterossa</t>
  </si>
  <si>
    <t>An De Backer</t>
  </si>
  <si>
    <t>A DeBacker</t>
  </si>
  <si>
    <t>Peter Van der Voort</t>
  </si>
  <si>
    <t>FixOpierre</t>
  </si>
  <si>
    <t>Dirk Dossche</t>
  </si>
  <si>
    <t>dirk d</t>
  </si>
  <si>
    <t>Waregem 5</t>
  </si>
  <si>
    <t>0475 43 05 12</t>
  </si>
  <si>
    <t>alain.verbrugge@gmail.com</t>
  </si>
  <si>
    <t>alcar12</t>
  </si>
  <si>
    <t>Chantal Six</t>
  </si>
  <si>
    <t>chantal s</t>
  </si>
  <si>
    <t>Rita Moerman</t>
  </si>
  <si>
    <t>ritamo1</t>
  </si>
  <si>
    <t>Eddy Houck</t>
  </si>
  <si>
    <t>edcorner57</t>
  </si>
  <si>
    <t>Sandeman 5</t>
  </si>
  <si>
    <t>0497 24 55 22</t>
  </si>
  <si>
    <t>hebberecht.bonamie@telenet.be</t>
  </si>
  <si>
    <t>Bleutje</t>
  </si>
  <si>
    <t>Luc Adams</t>
  </si>
  <si>
    <t>adaeva</t>
  </si>
  <si>
    <t>Rita Van Poucke</t>
  </si>
  <si>
    <t>Martine Pauwels</t>
  </si>
  <si>
    <t>ati pau</t>
  </si>
  <si>
    <t>Walter Temmerman</t>
  </si>
  <si>
    <t>Watem</t>
  </si>
  <si>
    <t>Marc Lootens</t>
  </si>
  <si>
    <t>Maui Maui</t>
  </si>
  <si>
    <t>Marianne Verhegge</t>
  </si>
  <si>
    <t>MarianneVe</t>
  </si>
  <si>
    <t>Thierry Goetghebuer</t>
  </si>
  <si>
    <t>GOETHIER</t>
  </si>
  <si>
    <t>Lieva Bonamie</t>
  </si>
  <si>
    <t>Waasmunster 1</t>
  </si>
  <si>
    <t>Johan De Ridder</t>
  </si>
  <si>
    <t>0468 12 87 93</t>
  </si>
  <si>
    <t>johan.de.ridder2@telenet.be</t>
  </si>
  <si>
    <t>jdr9999</t>
  </si>
  <si>
    <t>Joan Zaman</t>
  </si>
  <si>
    <t>jzaman</t>
  </si>
  <si>
    <t>Flory Cassimon</t>
  </si>
  <si>
    <t>el jugador</t>
  </si>
  <si>
    <t>Marleen Siebens</t>
  </si>
  <si>
    <t>MARL1TJE</t>
  </si>
  <si>
    <t>Maurice De Wachter</t>
  </si>
  <si>
    <t>Maurice_dw</t>
  </si>
  <si>
    <t>Martine De Wachter</t>
  </si>
  <si>
    <t>Martine_dw</t>
  </si>
  <si>
    <t>Marie-José Julin</t>
  </si>
  <si>
    <t>Mariemj</t>
  </si>
  <si>
    <t>Marc Oushoorn</t>
  </si>
  <si>
    <t>Anmarco</t>
  </si>
  <si>
    <t>Alain Verbrugge</t>
  </si>
  <si>
    <t>Heusden 4</t>
  </si>
  <si>
    <t>Rik Vantilborgh</t>
  </si>
  <si>
    <t>0472 40 38 54</t>
  </si>
  <si>
    <t>hendrik.vantilborgh@skynet.be</t>
  </si>
  <si>
    <t>rikv0407</t>
  </si>
  <si>
    <t>Karel Colpaert</t>
  </si>
  <si>
    <t>colka</t>
  </si>
  <si>
    <t>Jan Vantilborgh</t>
  </si>
  <si>
    <t>janv</t>
  </si>
  <si>
    <t>Toon Vantilborgh</t>
  </si>
  <si>
    <t>toon1955</t>
  </si>
  <si>
    <t>MiMoDanan</t>
  </si>
  <si>
    <t>Danny Van Riet</t>
  </si>
  <si>
    <t>0496 58 96 13</t>
  </si>
  <si>
    <t>davari.dvr@gmail.com</t>
  </si>
  <si>
    <t>DannyvR</t>
  </si>
  <si>
    <t>Min Van de Vel</t>
  </si>
  <si>
    <t>Minnekeplu</t>
  </si>
  <si>
    <t>Molly Snoeckx</t>
  </si>
  <si>
    <t>MollyS1</t>
  </si>
  <si>
    <t>Annick Annaert</t>
  </si>
  <si>
    <t>AnnickA1</t>
  </si>
  <si>
    <t>Bee 1</t>
  </si>
  <si>
    <t>Liliane Chabot</t>
  </si>
  <si>
    <t>0477 62 75 41</t>
  </si>
  <si>
    <t>rondeauxliliane@gmail.com</t>
  </si>
  <si>
    <t>stephanie</t>
  </si>
  <si>
    <t>Jacques Troquet</t>
  </si>
  <si>
    <t>PIEVV</t>
  </si>
  <si>
    <t>Filip Kegels</t>
  </si>
  <si>
    <t>Filipchik</t>
  </si>
  <si>
    <t>Patrick Goldberg</t>
  </si>
  <si>
    <t>patgoldy</t>
  </si>
  <si>
    <t>Harriet Rosenfeld</t>
  </si>
  <si>
    <t>harriet48</t>
  </si>
  <si>
    <t>Frank Van Heden</t>
  </si>
  <si>
    <t>Frank_49</t>
  </si>
  <si>
    <t>Bee 2</t>
  </si>
  <si>
    <t>Etienne Jardinet</t>
  </si>
  <si>
    <t>0475 31 90 77</t>
  </si>
  <si>
    <t>maestra.nv1@telenet.be</t>
  </si>
  <si>
    <t>bellebrun</t>
  </si>
  <si>
    <t>Johan Naessens</t>
  </si>
  <si>
    <t>nahoj11</t>
  </si>
  <si>
    <t>Robert Wynen</t>
  </si>
  <si>
    <t>wroberto16</t>
  </si>
  <si>
    <t>Muriel Evens</t>
  </si>
  <si>
    <t>Muriel1</t>
  </si>
  <si>
    <t>Denis De Rycke</t>
  </si>
  <si>
    <t>Bridgevrienden</t>
  </si>
  <si>
    <t>Norbert Verfaillie</t>
  </si>
  <si>
    <t>0475 80 31 33</t>
  </si>
  <si>
    <t>norbert.verfaillie@skynet.be</t>
  </si>
  <si>
    <t>verfaillie</t>
  </si>
  <si>
    <t>Rita Dewulf</t>
  </si>
  <si>
    <t>rita987</t>
  </si>
  <si>
    <t>Jean-Louis Dufromont</t>
  </si>
  <si>
    <t>JeanDufro</t>
  </si>
  <si>
    <t>Marie-Claire De Saedeleer</t>
  </si>
  <si>
    <t>MarieDufr</t>
  </si>
  <si>
    <t>Hilde Bauwens</t>
  </si>
  <si>
    <t>hildebrant</t>
  </si>
  <si>
    <t>Rachel Huyghens</t>
  </si>
  <si>
    <t>berebos</t>
  </si>
  <si>
    <t>Agnès Walravens</t>
  </si>
  <si>
    <t>Optimaal</t>
  </si>
  <si>
    <t>Claudine Dezutter</t>
  </si>
  <si>
    <t>elonex</t>
  </si>
  <si>
    <t>Alias 9</t>
  </si>
  <si>
    <t>Alias 10</t>
  </si>
  <si>
    <t>Alias 11</t>
  </si>
  <si>
    <t>Speler 9</t>
  </si>
  <si>
    <t>VBL 9</t>
  </si>
  <si>
    <t>Speler 10</t>
  </si>
  <si>
    <t>VBL 10</t>
  </si>
  <si>
    <t>Speler 11</t>
  </si>
  <si>
    <t>VBL 11</t>
  </si>
  <si>
    <t>Andrea Vlaeminck</t>
  </si>
  <si>
    <t>vlaemers</t>
  </si>
  <si>
    <t>Rosette Unglik</t>
  </si>
  <si>
    <t>myriam001</t>
  </si>
  <si>
    <t>Sylvain Unglik</t>
  </si>
  <si>
    <t>benjamin36</t>
  </si>
  <si>
    <t>Roeselare 2</t>
  </si>
  <si>
    <t>Dominique Hamerlinck</t>
  </si>
  <si>
    <t>0477 25 18 89</t>
  </si>
  <si>
    <t>dominique.hamerlinck@gmail.com</t>
  </si>
  <si>
    <t>canonvla</t>
  </si>
  <si>
    <t>Eddy Hoste</t>
  </si>
  <si>
    <t>HSE1</t>
  </si>
  <si>
    <t>Sigrid Verhaeghe</t>
  </si>
  <si>
    <t>SigridVH</t>
  </si>
  <si>
    <t>Sabien Tyberghien</t>
  </si>
  <si>
    <t>nonna bien</t>
  </si>
  <si>
    <t>Roland Corteel</t>
  </si>
  <si>
    <t>rolandco</t>
  </si>
  <si>
    <t>Heusden 2</t>
  </si>
  <si>
    <t>Marc Eeckhout</t>
  </si>
  <si>
    <t>0472 62 18 86</t>
  </si>
  <si>
    <t>marc_eeckhout@telenet.be</t>
  </si>
  <si>
    <t>mae61</t>
  </si>
  <si>
    <t>Jan Vander Mijnsbrugge</t>
  </si>
  <si>
    <t>jan_vdm</t>
  </si>
  <si>
    <t>Piet Eeckman</t>
  </si>
  <si>
    <t>eeckmap</t>
  </si>
  <si>
    <t>Frank Van Overmeire</t>
  </si>
  <si>
    <t>fvo</t>
  </si>
  <si>
    <t>Jenny Dauwe</t>
  </si>
  <si>
    <t>dogson</t>
  </si>
  <si>
    <t>Anita Van Der Maelen</t>
  </si>
  <si>
    <t>Rogita</t>
  </si>
  <si>
    <t>Muriel De Maertelaere</t>
  </si>
  <si>
    <t>Mamuriel</t>
  </si>
  <si>
    <t>Bernadette Cathry</t>
  </si>
  <si>
    <t>beeke13</t>
  </si>
  <si>
    <t>Ria De Plus</t>
  </si>
  <si>
    <t>SML29</t>
  </si>
  <si>
    <t>Kollebloem Puurs</t>
  </si>
  <si>
    <t>Carla Van Reeth</t>
  </si>
  <si>
    <t>0479 83 69 60</t>
  </si>
  <si>
    <t>carlavanreeth@hotmail.com</t>
  </si>
  <si>
    <t>Carla 20</t>
  </si>
  <si>
    <t>Firmin Delplancke</t>
  </si>
  <si>
    <t>Firmi127</t>
  </si>
  <si>
    <t>Marc Van den Eynde</t>
  </si>
  <si>
    <t>EYNMAR</t>
  </si>
  <si>
    <t>Martine Van Barel</t>
  </si>
  <si>
    <t>Tine Brel</t>
  </si>
  <si>
    <t>René Aerts</t>
  </si>
  <si>
    <t>Nekes</t>
  </si>
  <si>
    <t>Jozef Bogaerts</t>
  </si>
  <si>
    <t>JEFBASKET</t>
  </si>
  <si>
    <t>Kris Dockx</t>
  </si>
  <si>
    <t>Kris Ria</t>
  </si>
  <si>
    <t>An Ganseman</t>
  </si>
  <si>
    <t>angan</t>
  </si>
  <si>
    <t>Bree</t>
  </si>
  <si>
    <t>Erik Verheyen</t>
  </si>
  <si>
    <t>0471 07 04 86</t>
  </si>
  <si>
    <t>erikverheyen@belgacom.net</t>
  </si>
  <si>
    <t>erikver1</t>
  </si>
  <si>
    <t>Pascal Joosten</t>
  </si>
  <si>
    <t>Pascaljo</t>
  </si>
  <si>
    <t>Ivan Crijns</t>
  </si>
  <si>
    <t>Ivancrijns</t>
  </si>
  <si>
    <t>Simone Delestinne</t>
  </si>
  <si>
    <t>Simonne61</t>
  </si>
  <si>
    <t>Jaak Janssen</t>
  </si>
  <si>
    <t>JACK063</t>
  </si>
  <si>
    <t>Guy Agten</t>
  </si>
  <si>
    <t>Bree001</t>
  </si>
  <si>
    <t>Guido Terwingen</t>
  </si>
  <si>
    <t>Bree 006</t>
  </si>
  <si>
    <t>Jos Verheyen</t>
  </si>
  <si>
    <t>JV1957</t>
  </si>
  <si>
    <t>Mathieu Meijssen</t>
  </si>
  <si>
    <t>Thieu i</t>
  </si>
  <si>
    <t>Rik Neyens</t>
  </si>
  <si>
    <t>Bree003</t>
  </si>
  <si>
    <t>Roger Geuens</t>
  </si>
  <si>
    <t>Bree007</t>
  </si>
  <si>
    <t>Speler 12</t>
  </si>
  <si>
    <t>VBL 12</t>
  </si>
  <si>
    <t>Alias 12</t>
  </si>
  <si>
    <t>Monique Quetin</t>
  </si>
  <si>
    <t>Joleitje8</t>
  </si>
  <si>
    <t>ANPAROJO</t>
  </si>
  <si>
    <t>Jos Borremans</t>
  </si>
  <si>
    <t>0495 99 93 41</t>
  </si>
  <si>
    <t>jos.borremans@hotmail.com</t>
  </si>
  <si>
    <t>watermann</t>
  </si>
  <si>
    <t>Rosette Eeckhout</t>
  </si>
  <si>
    <t>zetteken55</t>
  </si>
  <si>
    <t>Annie De Camps</t>
  </si>
  <si>
    <t>anniecava</t>
  </si>
  <si>
    <t>jacopa</t>
  </si>
  <si>
    <t>Essense 1</t>
  </si>
  <si>
    <t>Miriam Goossens</t>
  </si>
  <si>
    <t>Cees Van Den Beemd</t>
  </si>
  <si>
    <t>Francois Vermeiren</t>
  </si>
  <si>
    <t>Jenny De Graeve</t>
  </si>
  <si>
    <t>Goossens.Miriam@gmail.com</t>
  </si>
  <si>
    <t>Essense 2</t>
  </si>
  <si>
    <t>Ludo Vrints</t>
  </si>
  <si>
    <t>Ludo.Vrints@telenet.be</t>
  </si>
  <si>
    <t>Jacqueline Peeters</t>
  </si>
  <si>
    <t>Leo Loos</t>
  </si>
  <si>
    <t>Dirk Van Aert</t>
  </si>
  <si>
    <t>Jan Van Looveren</t>
  </si>
  <si>
    <t>De Schlemielen</t>
  </si>
  <si>
    <t>Didier Verdeyen</t>
  </si>
  <si>
    <t>0495 21 26 86</t>
  </si>
  <si>
    <t>didier.verdeyen@skynet.be</t>
  </si>
  <si>
    <t>DidiBrazil</t>
  </si>
  <si>
    <t>Luc Verest</t>
  </si>
  <si>
    <t>slemmeke</t>
  </si>
  <si>
    <t>Gert Roosens</t>
  </si>
  <si>
    <t>gert_r</t>
  </si>
  <si>
    <t>Donny Dumarey</t>
  </si>
  <si>
    <t>botjes</t>
  </si>
  <si>
    <t>Sabine Duthoit</t>
  </si>
  <si>
    <t>sabidu</t>
  </si>
  <si>
    <t>Alan Mommaerts</t>
  </si>
  <si>
    <t>Alan Mom</t>
  </si>
  <si>
    <t>Westrand 3</t>
  </si>
  <si>
    <t>José Deglinne</t>
  </si>
  <si>
    <t>0497 42 65 95</t>
  </si>
  <si>
    <t>jose.deglinne@gmail.com</t>
  </si>
  <si>
    <t>Kathleen Thysens</t>
  </si>
  <si>
    <t>Eric Lanckmans</t>
  </si>
  <si>
    <t>Karel Rampelberg</t>
  </si>
  <si>
    <t>Christian Vanoycke</t>
  </si>
  <si>
    <t>Bob De Vuyst</t>
  </si>
  <si>
    <t>DOWNAGAIN ?</t>
  </si>
  <si>
    <t>Leen Neels</t>
  </si>
  <si>
    <t>0484 63 61 36</t>
  </si>
  <si>
    <t>leen.neels@telenet.be</t>
  </si>
  <si>
    <t>Leentje</t>
  </si>
  <si>
    <t>Luc Theuwissen</t>
  </si>
  <si>
    <t>TheLuc</t>
  </si>
  <si>
    <t>Joop Van Der Harst</t>
  </si>
  <si>
    <t>Joop7</t>
  </si>
  <si>
    <t>Bob Van Der Zwan</t>
  </si>
  <si>
    <t>Faldo_1700</t>
  </si>
  <si>
    <t>Henri Loomans</t>
  </si>
  <si>
    <t>Henri2</t>
  </si>
  <si>
    <t>Forum 3</t>
  </si>
  <si>
    <t>Erik Gerlo</t>
  </si>
  <si>
    <t>0477 22 29 52</t>
  </si>
  <si>
    <t>erik.gerlo@outlook.com</t>
  </si>
  <si>
    <t>carolusi</t>
  </si>
  <si>
    <t>Rita Maerten</t>
  </si>
  <si>
    <t>maertenr</t>
  </si>
  <si>
    <t>Johnny Simon</t>
  </si>
  <si>
    <t>Libel1</t>
  </si>
  <si>
    <t>Bert Kolsteeg</t>
  </si>
  <si>
    <t>bertus</t>
  </si>
  <si>
    <t>Nigranka</t>
  </si>
  <si>
    <t>Nicole Legroe</t>
  </si>
  <si>
    <t>0478 21 39 59</t>
  </si>
  <si>
    <t>nicole.legroe@skynet.be</t>
  </si>
  <si>
    <t>NicLegroe</t>
  </si>
  <si>
    <t>Anneke Descheemaeker</t>
  </si>
  <si>
    <t>AnnekeVHB</t>
  </si>
  <si>
    <t>Katrien Desimpel</t>
  </si>
  <si>
    <t>Kathydes</t>
  </si>
  <si>
    <t>Greta Yde</t>
  </si>
  <si>
    <t>pascalvdc</t>
  </si>
  <si>
    <t>jovidius</t>
  </si>
  <si>
    <t>kaativo</t>
  </si>
  <si>
    <t>ericwest</t>
  </si>
  <si>
    <t>juradil</t>
  </si>
  <si>
    <t>lolabxl</t>
  </si>
  <si>
    <t>vijfvier</t>
  </si>
  <si>
    <t>0468 48 89 40</t>
  </si>
  <si>
    <t>0485 12 63 38</t>
  </si>
  <si>
    <t>Serge Jans</t>
  </si>
  <si>
    <t>0470 10 37 00</t>
  </si>
  <si>
    <t>jansvandermeer@proximus.be</t>
  </si>
  <si>
    <t>serge3700</t>
  </si>
  <si>
    <t>Rita Vandermeer</t>
  </si>
  <si>
    <t>felix3700</t>
  </si>
  <si>
    <t>Polly Nicolaes</t>
  </si>
  <si>
    <t>polly3700</t>
  </si>
  <si>
    <t>Robby Ciesielski</t>
  </si>
  <si>
    <t>robby3700</t>
  </si>
  <si>
    <t>Houtland</t>
  </si>
  <si>
    <t>Paul Clement</t>
  </si>
  <si>
    <t>0470 54 48 49</t>
  </si>
  <si>
    <t>paultjeclement@gmail.com</t>
  </si>
  <si>
    <t>phoeglen</t>
  </si>
  <si>
    <t>Luc Walcarius</t>
  </si>
  <si>
    <t>LucWal</t>
  </si>
  <si>
    <t>Geert Werbrouck</t>
  </si>
  <si>
    <t>GeertW</t>
  </si>
  <si>
    <t>André Jacques</t>
  </si>
  <si>
    <t>AndreJac</t>
  </si>
  <si>
    <t>Hubert Vermeulen</t>
  </si>
  <si>
    <t>VeHubert</t>
  </si>
  <si>
    <t>Mirjan</t>
  </si>
  <si>
    <t>Voer</t>
  </si>
  <si>
    <t>Guide Vandebeek</t>
  </si>
  <si>
    <t>0496 12 24 17</t>
  </si>
  <si>
    <t>guido.vandebeek@gmail.com</t>
  </si>
  <si>
    <t>guido v</t>
  </si>
  <si>
    <t>Peter Philipsen</t>
  </si>
  <si>
    <t>peterph</t>
  </si>
  <si>
    <t>Marc Craenen</t>
  </si>
  <si>
    <t>MarcPM</t>
  </si>
  <si>
    <t>Frans Decuyper</t>
  </si>
  <si>
    <t>decuyper</t>
  </si>
  <si>
    <t>Gré Kappel</t>
  </si>
  <si>
    <t>onlayGre</t>
  </si>
  <si>
    <t>Vrintsludo</t>
  </si>
  <si>
    <t>Jacqpeete</t>
  </si>
  <si>
    <t>Loosleo</t>
  </si>
  <si>
    <t>dirkvanaer</t>
  </si>
  <si>
    <t>REGENBOOG</t>
  </si>
  <si>
    <t>Martine Wentein</t>
  </si>
  <si>
    <t>0495 28 11 09</t>
  </si>
  <si>
    <t>omimartine</t>
  </si>
  <si>
    <t>Wim Vandenberghe</t>
  </si>
  <si>
    <t>usbew99999</t>
  </si>
  <si>
    <t>Herman Deschrijver</t>
  </si>
  <si>
    <t>Dehesse</t>
  </si>
  <si>
    <t>Lieve Simoens</t>
  </si>
  <si>
    <t>Wievetje2</t>
  </si>
  <si>
    <t>Rita Savels</t>
  </si>
  <si>
    <t>Saveldi</t>
  </si>
  <si>
    <t>Luc Deschrijver</t>
  </si>
  <si>
    <t>martine.wentein@telenet.be</t>
  </si>
  <si>
    <t>Sandeman 6</t>
  </si>
  <si>
    <t>André De Laporte</t>
  </si>
  <si>
    <t>0476 48 05 30</t>
  </si>
  <si>
    <t>andre.delaporte@telenet.be</t>
  </si>
  <si>
    <t>delapora</t>
  </si>
  <si>
    <t>Kristine Van Daele</t>
  </si>
  <si>
    <t>KVD9840</t>
  </si>
  <si>
    <t>Marleen Genetello</t>
  </si>
  <si>
    <t>Maretello</t>
  </si>
  <si>
    <t>Pieter Garreyn</t>
  </si>
  <si>
    <t>pieterg007</t>
  </si>
  <si>
    <t>Philippe D'Hondt</t>
  </si>
  <si>
    <t>phildho</t>
  </si>
  <si>
    <t>Josette Vermout</t>
  </si>
  <si>
    <t>Josette23</t>
  </si>
  <si>
    <t>Marc Vancaeneghem</t>
  </si>
  <si>
    <t>marcvc</t>
  </si>
  <si>
    <t>De witte beren</t>
  </si>
  <si>
    <t>Karoline Bruggeman</t>
  </si>
  <si>
    <t>0478 43 92 01</t>
  </si>
  <si>
    <t>karoline.bruggeman@telenet.be</t>
  </si>
  <si>
    <t>KarolinaBr</t>
  </si>
  <si>
    <t>Francine Campana</t>
  </si>
  <si>
    <t>titig</t>
  </si>
  <si>
    <t>Yves Campana</t>
  </si>
  <si>
    <t>caym</t>
  </si>
  <si>
    <t>Piet Vanden Bussche</t>
  </si>
  <si>
    <t>witteberg</t>
  </si>
  <si>
    <t>Mieke Vanden Bussche</t>
  </si>
  <si>
    <t>avandenbus</t>
  </si>
  <si>
    <t>W8ebeke</t>
  </si>
  <si>
    <t>Hugo Arnou</t>
  </si>
  <si>
    <t>0487 46 87 95</t>
  </si>
  <si>
    <t>hugo.arnou1@telenet.be</t>
  </si>
  <si>
    <t>hugog38</t>
  </si>
  <si>
    <t>Marcel Beeldens</t>
  </si>
  <si>
    <t>vbl21498</t>
  </si>
  <si>
    <t>Lieven Didier</t>
  </si>
  <si>
    <t>lievendid</t>
  </si>
  <si>
    <t>Rita Laureyns</t>
  </si>
  <si>
    <t>rietje47</t>
  </si>
  <si>
    <t>EBUROON 2</t>
  </si>
  <si>
    <t>Sandeman7</t>
  </si>
  <si>
    <t>Arthur Trouvé</t>
  </si>
  <si>
    <t>09 258 05 51</t>
  </si>
  <si>
    <t>arthurtrouve@skynet.be</t>
  </si>
  <si>
    <t>arthur0001</t>
  </si>
  <si>
    <t>Brigitte Lauwaert</t>
  </si>
  <si>
    <t>blauwaert</t>
  </si>
  <si>
    <t>Mia Devolder</t>
  </si>
  <si>
    <t>mdevolder</t>
  </si>
  <si>
    <t>Marie Christine Oosterlinck</t>
  </si>
  <si>
    <t>Oosterlinc</t>
  </si>
  <si>
    <t>Marleen De Keukelaere</t>
  </si>
  <si>
    <t>mdkeukel</t>
  </si>
  <si>
    <t>Hans Mortier</t>
  </si>
  <si>
    <t>hmor</t>
  </si>
  <si>
    <t>Rudy Vermeiren</t>
  </si>
  <si>
    <t>hennyrudy</t>
  </si>
  <si>
    <t>Isabelle Vandeginste</t>
  </si>
  <si>
    <t>vdgisa</t>
  </si>
  <si>
    <t>Goldstar</t>
  </si>
  <si>
    <t>Chris Falleyn</t>
  </si>
  <si>
    <t>0498 72 51 69</t>
  </si>
  <si>
    <t>Chris.falleyn@gmail.com</t>
  </si>
  <si>
    <t>cfal</t>
  </si>
  <si>
    <t>Jenny Wang</t>
  </si>
  <si>
    <t>tobyke</t>
  </si>
  <si>
    <t>Bea Van Gool</t>
  </si>
  <si>
    <t>sarlie</t>
  </si>
  <si>
    <t>Lieve Sol</t>
  </si>
  <si>
    <t>livea</t>
  </si>
  <si>
    <t>Yvan Dejaegher</t>
  </si>
  <si>
    <t>yvandj</t>
  </si>
  <si>
    <t>Hilde Lauwers</t>
  </si>
  <si>
    <t>bmwz3</t>
  </si>
  <si>
    <t>Last minute</t>
  </si>
  <si>
    <t>Herman Raeven</t>
  </si>
  <si>
    <t>0486 48 70 07</t>
  </si>
  <si>
    <t xml:space="preserve">h.raeven@skynet.be </t>
  </si>
  <si>
    <t>Herman55</t>
  </si>
  <si>
    <t>Gie Cortens</t>
  </si>
  <si>
    <t>ikz11</t>
  </si>
  <si>
    <t>Nele Van Hoovels</t>
  </si>
  <si>
    <t>Klavertje2</t>
  </si>
  <si>
    <t>Leo De Brabandere</t>
  </si>
  <si>
    <t>LeoXIII</t>
  </si>
  <si>
    <t>Edegem 1</t>
  </si>
  <si>
    <t>Edegem 2</t>
  </si>
  <si>
    <t>Nadine Westelinck</t>
  </si>
  <si>
    <t>0477 28 18 07</t>
  </si>
  <si>
    <t>nadine.westelinck@gmail.com</t>
  </si>
  <si>
    <t>nadwest</t>
  </si>
  <si>
    <t>Chris Hennen</t>
  </si>
  <si>
    <t>chrisbe55</t>
  </si>
  <si>
    <t>Kathleen Bijtebier</t>
  </si>
  <si>
    <t>kathbijt</t>
  </si>
  <si>
    <t>Vera Embrechts</t>
  </si>
  <si>
    <t>vanherck</t>
  </si>
  <si>
    <t>Jan Ponnet</t>
  </si>
  <si>
    <t>0475 60 23 93</t>
  </si>
  <si>
    <t>jan@ponnet.be</t>
  </si>
  <si>
    <t>verbeck</t>
  </si>
  <si>
    <t>Claar Derkinderen</t>
  </si>
  <si>
    <t>lodekjeser</t>
  </si>
  <si>
    <t>Ziva Savransky</t>
  </si>
  <si>
    <t>amsa24</t>
  </si>
  <si>
    <t>Yvonne Verleyen</t>
  </si>
  <si>
    <t>syvonne</t>
  </si>
  <si>
    <t>CeesvdBeem</t>
  </si>
  <si>
    <t>Franjen</t>
  </si>
  <si>
    <t>Jenfran</t>
  </si>
  <si>
    <t>Alfred Vanautgaerden</t>
  </si>
  <si>
    <t>AlfredVa</t>
  </si>
  <si>
    <t>Pieterman 6</t>
  </si>
  <si>
    <t>Eric Fierens</t>
  </si>
  <si>
    <t>0473 44 32 03</t>
  </si>
  <si>
    <t>ericfierens@telenet.be</t>
  </si>
  <si>
    <t>fiere</t>
  </si>
  <si>
    <t>Mieke De Neve</t>
  </si>
  <si>
    <t>zarite</t>
  </si>
  <si>
    <t>Herman Fastenaekels</t>
  </si>
  <si>
    <t>HF55</t>
  </si>
  <si>
    <t>Roland Gijsemberg</t>
  </si>
  <si>
    <t>RJCG44</t>
  </si>
  <si>
    <t>Jan Schepers</t>
  </si>
  <si>
    <t>Janneke80</t>
  </si>
  <si>
    <t>Hubert Verbeke</t>
  </si>
  <si>
    <t>verbekeh</t>
  </si>
  <si>
    <t>Nr 1</t>
  </si>
  <si>
    <t>Nr 2</t>
  </si>
  <si>
    <t>"Thuis" ploeg (1)</t>
  </si>
  <si>
    <t>"Uit" ploeg (2)</t>
  </si>
  <si>
    <t>Paul Moermans</t>
  </si>
  <si>
    <t>PAUL8800</t>
  </si>
  <si>
    <t>Denis ddr</t>
  </si>
  <si>
    <t>Marleen Roos</t>
  </si>
  <si>
    <t>Pietekoo</t>
  </si>
  <si>
    <t>Marc Braeckman</t>
  </si>
  <si>
    <t>Braema</t>
  </si>
  <si>
    <t>Tine Van Eeghem</t>
  </si>
  <si>
    <t>Mieltuur11</t>
  </si>
  <si>
    <t>Christiane Deroo</t>
  </si>
  <si>
    <t>Tobiassloe</t>
  </si>
  <si>
    <t>Jacqueline Van Daele</t>
  </si>
  <si>
    <t>Brugeos</t>
  </si>
  <si>
    <t>S1</t>
  </si>
  <si>
    <t>S2</t>
  </si>
  <si>
    <t>S3</t>
  </si>
  <si>
    <t>S4</t>
  </si>
  <si>
    <t>S5</t>
  </si>
  <si>
    <t>poekietje</t>
  </si>
  <si>
    <t>Fransine Geeroms</t>
  </si>
  <si>
    <t>nofrello</t>
  </si>
  <si>
    <t>Ranking</t>
  </si>
  <si>
    <t>0475 82 96 98</t>
  </si>
  <si>
    <t>TOTAAL VP</t>
  </si>
  <si>
    <t>S8</t>
  </si>
  <si>
    <t>S6</t>
  </si>
  <si>
    <t>S7</t>
  </si>
  <si>
    <t>Speeldag 8</t>
  </si>
  <si>
    <t>Speeldag 6</t>
  </si>
  <si>
    <t>Speeldag 7</t>
  </si>
  <si>
    <t>Swiss</t>
  </si>
  <si>
    <t>Kwartfinales Play-Offs</t>
  </si>
  <si>
    <t>KF1</t>
  </si>
  <si>
    <t>KF2</t>
  </si>
  <si>
    <t>KF3</t>
  </si>
  <si>
    <t>KF4</t>
  </si>
  <si>
    <t>Luc DS</t>
  </si>
  <si>
    <t>HF1</t>
  </si>
  <si>
    <t>HF2</t>
  </si>
  <si>
    <t>Halve Finales Play-Offs</t>
  </si>
  <si>
    <t>WIN KF</t>
  </si>
  <si>
    <t>LOSS HF</t>
  </si>
  <si>
    <t>WIN HF</t>
  </si>
  <si>
    <t>FIN</t>
  </si>
  <si>
    <t>kF</t>
  </si>
  <si>
    <t>FINALE</t>
  </si>
  <si>
    <t>Kleine Finale</t>
  </si>
  <si>
    <t>WIN kF</t>
  </si>
  <si>
    <t>LOSS kF</t>
  </si>
  <si>
    <t>WIN FIN</t>
  </si>
  <si>
    <t>LOSS FIN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</si>
</sst>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5" tint="-0.499984740745262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1"/>
      <color rgb="FF002060"/>
      <name val="Calibri"/>
      <family val="2"/>
      <scheme val="minor"/>
    </font>
    <font>
      <i/>
      <sz val="11"/>
      <color rgb="FF002060"/>
      <name val="Calibri"/>
      <family val="2"/>
      <scheme val="minor"/>
    </font>
    <font>
      <sz val="11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2"/>
      <color rgb="FFFFFF00"/>
      <name val="Calibri"/>
      <family val="2"/>
      <scheme val="minor"/>
    </font>
    <font>
      <b/>
      <i/>
      <sz val="12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 tint="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theme="5" tint="-0.2499465926084170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7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NumberFormat="1" applyAlignment="1">
      <alignment horizontal="center"/>
    </xf>
    <xf numFmtId="0" fontId="7" fillId="0" borderId="0" xfId="0" applyFont="1"/>
    <xf numFmtId="0" fontId="0" fillId="0" borderId="0" xfId="0" applyFont="1" applyBorder="1"/>
    <xf numFmtId="0" fontId="0" fillId="0" borderId="0" xfId="0" applyFont="1"/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4" xfId="0" applyFont="1" applyBorder="1" applyAlignment="1">
      <alignment horizontal="center"/>
    </xf>
    <xf numFmtId="0" fontId="7" fillId="0" borderId="0" xfId="0" applyNumberFormat="1" applyFont="1" applyBorder="1" applyAlignment="1">
      <alignment horizontal="left"/>
    </xf>
    <xf numFmtId="0" fontId="2" fillId="0" borderId="0" xfId="1" applyFont="1" applyBorder="1"/>
    <xf numFmtId="0" fontId="9" fillId="0" borderId="0" xfId="0" applyFont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0" fontId="7" fillId="0" borderId="0" xfId="0" applyFont="1" applyAlignment="1"/>
    <xf numFmtId="0" fontId="0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7" fillId="3" borderId="0" xfId="0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Fill="1" applyBorder="1" applyAlignment="1">
      <alignment horizontal="center"/>
    </xf>
    <xf numFmtId="0" fontId="3" fillId="0" borderId="8" xfId="0" applyFont="1" applyBorder="1"/>
    <xf numFmtId="0" fontId="3" fillId="0" borderId="9" xfId="0" applyFont="1" applyBorder="1"/>
    <xf numFmtId="0" fontId="3" fillId="0" borderId="5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ont="1" applyBorder="1"/>
    <xf numFmtId="49" fontId="0" fillId="0" borderId="0" xfId="0" applyNumberFormat="1" applyFont="1"/>
    <xf numFmtId="49" fontId="0" fillId="0" borderId="0" xfId="0" applyNumberFormat="1" applyFont="1" applyBorder="1"/>
    <xf numFmtId="49" fontId="0" fillId="0" borderId="0" xfId="0" applyNumberFormat="1"/>
    <xf numFmtId="0" fontId="2" fillId="0" borderId="0" xfId="1"/>
    <xf numFmtId="0" fontId="13" fillId="0" borderId="0" xfId="1" applyFont="1"/>
    <xf numFmtId="0" fontId="13" fillId="0" borderId="0" xfId="1" applyFont="1" applyBorder="1"/>
    <xf numFmtId="0" fontId="2" fillId="0" borderId="0" xfId="1" applyBorder="1"/>
    <xf numFmtId="0" fontId="13" fillId="0" borderId="0" xfId="1" applyFont="1" applyFill="1"/>
    <xf numFmtId="0" fontId="0" fillId="0" borderId="10" xfId="0" applyFont="1" applyFill="1" applyBorder="1"/>
    <xf numFmtId="0" fontId="0" fillId="0" borderId="0" xfId="0" applyFont="1" applyFill="1"/>
    <xf numFmtId="0" fontId="0" fillId="0" borderId="0" xfId="0" applyFont="1" applyFill="1" applyBorder="1"/>
    <xf numFmtId="0" fontId="4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49" fontId="4" fillId="0" borderId="13" xfId="0" applyNumberFormat="1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6" xfId="0" applyFont="1" applyBorder="1"/>
    <xf numFmtId="0" fontId="4" fillId="0" borderId="17" xfId="0" applyFont="1" applyBorder="1" applyAlignment="1">
      <alignment horizontal="center"/>
    </xf>
    <xf numFmtId="0" fontId="0" fillId="5" borderId="10" xfId="0" applyFont="1" applyFill="1" applyBorder="1"/>
    <xf numFmtId="49" fontId="0" fillId="0" borderId="0" xfId="0" applyNumberFormat="1" applyFont="1" applyFill="1"/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1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NumberFormat="1" applyFill="1" applyBorder="1" applyAlignment="1">
      <alignment horizontal="center"/>
    </xf>
    <xf numFmtId="0" fontId="14" fillId="6" borderId="0" xfId="0" applyFont="1" applyFill="1"/>
    <xf numFmtId="2" fontId="10" fillId="6" borderId="0" xfId="0" applyNumberFormat="1" applyFont="1" applyFill="1" applyAlignment="1">
      <alignment horizontal="center"/>
    </xf>
    <xf numFmtId="2" fontId="10" fillId="6" borderId="3" xfId="0" applyNumberFormat="1" applyFont="1" applyFill="1" applyBorder="1" applyAlignment="1">
      <alignment horizontal="center"/>
    </xf>
    <xf numFmtId="0" fontId="15" fillId="7" borderId="9" xfId="0" applyFont="1" applyFill="1" applyBorder="1"/>
    <xf numFmtId="0" fontId="16" fillId="7" borderId="9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17" fillId="0" borderId="22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22" xfId="0" applyNumberFormat="1" applyFont="1" applyBorder="1" applyAlignment="1">
      <alignment horizontal="center"/>
    </xf>
    <xf numFmtId="0" fontId="17" fillId="0" borderId="0" xfId="0" applyNumberFormat="1" applyFont="1" applyBorder="1" applyAlignment="1">
      <alignment horizontal="center"/>
    </xf>
    <xf numFmtId="0" fontId="9" fillId="8" borderId="0" xfId="0" applyFont="1" applyFill="1" applyBorder="1" applyAlignment="1">
      <alignment horizontal="center" vertical="center"/>
    </xf>
    <xf numFmtId="0" fontId="17" fillId="0" borderId="0" xfId="0" applyFont="1" applyAlignment="1">
      <alignment horizontal="center"/>
    </xf>
    <xf numFmtId="0" fontId="19" fillId="9" borderId="7" xfId="0" applyFont="1" applyFill="1" applyBorder="1" applyAlignment="1">
      <alignment horizontal="center"/>
    </xf>
    <xf numFmtId="0" fontId="10" fillId="9" borderId="7" xfId="0" applyFont="1" applyFill="1" applyBorder="1" applyAlignment="1">
      <alignment horizontal="center"/>
    </xf>
    <xf numFmtId="0" fontId="18" fillId="9" borderId="6" xfId="0" applyFont="1" applyFill="1" applyBorder="1"/>
    <xf numFmtId="0" fontId="0" fillId="0" borderId="2" xfId="0" applyFill="1" applyBorder="1" applyAlignment="1">
      <alignment horizontal="center"/>
    </xf>
    <xf numFmtId="0" fontId="0" fillId="0" borderId="2" xfId="0" applyNumberFormat="1" applyFill="1" applyBorder="1" applyAlignment="1">
      <alignment horizontal="center"/>
    </xf>
    <xf numFmtId="0" fontId="19" fillId="9" borderId="23" xfId="0" applyFont="1" applyFill="1" applyBorder="1" applyAlignment="1">
      <alignment horizontal="center"/>
    </xf>
    <xf numFmtId="0" fontId="3" fillId="4" borderId="8" xfId="0" applyFont="1" applyFill="1" applyBorder="1" applyAlignment="1">
      <alignment horizontal="center"/>
    </xf>
    <xf numFmtId="0" fontId="3" fillId="4" borderId="9" xfId="0" applyFont="1" applyFill="1" applyBorder="1" applyAlignment="1">
      <alignment horizontal="center"/>
    </xf>
    <xf numFmtId="0" fontId="15" fillId="4" borderId="9" xfId="0" applyNumberFormat="1" applyFont="1" applyFill="1" applyBorder="1" applyAlignment="1">
      <alignment horizontal="center"/>
    </xf>
    <xf numFmtId="2" fontId="18" fillId="4" borderId="8" xfId="0" applyNumberFormat="1" applyFont="1" applyFill="1" applyBorder="1" applyAlignment="1">
      <alignment horizontal="center"/>
    </xf>
    <xf numFmtId="2" fontId="18" fillId="4" borderId="3" xfId="0" applyNumberFormat="1" applyFont="1" applyFill="1" applyBorder="1" applyAlignment="1">
      <alignment horizontal="center"/>
    </xf>
    <xf numFmtId="0" fontId="19" fillId="4" borderId="0" xfId="0" applyFont="1" applyFill="1" applyAlignment="1">
      <alignment horizontal="center"/>
    </xf>
    <xf numFmtId="0" fontId="20" fillId="4" borderId="0" xfId="0" applyNumberFormat="1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1" fillId="4" borderId="0" xfId="0" applyNumberFormat="1" applyFont="1" applyFill="1" applyAlignment="1">
      <alignment horizontal="center"/>
    </xf>
    <xf numFmtId="0" fontId="22" fillId="0" borderId="0" xfId="0" applyNumberFormat="1" applyFont="1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17" fillId="0" borderId="21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7" fillId="0" borderId="0" xfId="0" applyNumberFormat="1" applyFont="1" applyBorder="1" applyAlignment="1">
      <alignment horizontal="center"/>
    </xf>
    <xf numFmtId="0" fontId="9" fillId="0" borderId="11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8" xfId="0" applyFill="1" applyBorder="1" applyAlignment="1">
      <alignment horizontal="center"/>
    </xf>
    <xf numFmtId="0" fontId="10" fillId="9" borderId="1" xfId="0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0" fillId="4" borderId="1" xfId="0" applyFont="1" applyFill="1" applyBorder="1" applyAlignment="1">
      <alignment horizontal="center"/>
    </xf>
    <xf numFmtId="0" fontId="10" fillId="4" borderId="1" xfId="0" applyNumberFormat="1" applyFont="1" applyFill="1" applyBorder="1" applyAlignment="1">
      <alignment horizontal="center"/>
    </xf>
    <xf numFmtId="0" fontId="10" fillId="4" borderId="18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2" fillId="0" borderId="0" xfId="0" applyFont="1" applyAlignment="1">
      <alignment horizontal="center"/>
    </xf>
  </cellXfs>
  <cellStyles count="2">
    <cellStyle name="Hyperlink" xfId="1" builtinId="8"/>
    <cellStyle name="Standaard" xfId="0" builtinId="0"/>
  </cellStyles>
  <dxfs count="167"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 diagonalUp="0" diagonalDown="0">
        <left/>
        <right style="hair">
          <color theme="5" tint="-0.24994659260841701"/>
        </right>
        <top/>
        <bottom/>
      </border>
    </dxf>
    <dxf>
      <font>
        <b/>
        <strike val="0"/>
        <outline val="0"/>
        <shadow val="0"/>
        <u val="none"/>
        <vertAlign val="baseline"/>
        <color theme="0"/>
        <name val="Calibri"/>
        <family val="2"/>
        <scheme val="minor"/>
      </font>
      <numFmt numFmtId="2" formatCode="0.00"/>
      <fill>
        <patternFill patternType="solid">
          <fgColor indexed="64"/>
          <bgColor rgb="FF0070C0"/>
        </patternFill>
      </fill>
      <alignment horizontal="center" vertical="bottom" textRotation="0" wrapText="0" indent="0" justifyLastLine="0" shrinkToFit="0" readingOrder="0"/>
      <border>
        <left style="medium">
          <color theme="9" tint="-0.24994659260841701"/>
        </left>
      </border>
    </dxf>
    <dxf>
      <font>
        <strike val="0"/>
        <outline val="0"/>
        <shadow val="0"/>
        <u val="none"/>
        <vertAlign val="baseline"/>
        <color rgb="FFC00000"/>
        <name val="Calibri"/>
        <family val="2"/>
        <scheme val="minor"/>
      </font>
      <numFmt numFmtId="0" formatCode="General"/>
      <fill>
        <patternFill patternType="solid">
          <fgColor indexed="64"/>
          <bgColor rgb="FFFFC000"/>
        </patternFill>
      </fill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vertical/>
      </border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 style="medium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 tint="-0.499984740745262"/>
        <name val="Calibri"/>
        <family val="2"/>
        <scheme val="minor"/>
      </font>
      <numFmt numFmtId="0" formatCode="General"/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/>
        <top/>
        <bottom/>
      </border>
    </dxf>
    <dxf>
      <font>
        <b/>
        <strike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0" formatCode="General"/>
      <fill>
        <patternFill patternType="solid">
          <fgColor indexed="64"/>
          <bgColor rgb="FFC00000"/>
        </patternFill>
      </fill>
      <alignment horizontal="center" vertical="bottom" textRotation="0" wrapText="0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  <vertical/>
        <horizontal/>
      </border>
    </dxf>
    <dxf>
      <font>
        <b/>
      </font>
      <numFmt numFmtId="0" formatCode="General"/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</font>
    </dxf>
    <dxf>
      <font>
        <b val="0"/>
      </font>
    </dxf>
    <dxf>
      <font>
        <b val="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</font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vertical/>
      </border>
    </dxf>
    <dxf>
      <font>
        <b val="0"/>
      </font>
    </dxf>
    <dxf>
      <font>
        <b val="0"/>
      </font>
    </dxf>
    <dxf>
      <font>
        <b val="0"/>
      </font>
      <border diagonalUp="0" diagonalDown="0">
        <left/>
        <right style="thin">
          <color indexed="64"/>
        </right>
        <vertical/>
      </border>
    </dxf>
    <dxf>
      <font>
        <b val="0"/>
      </font>
    </dxf>
    <dxf>
      <font>
        <b val="0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border diagonalUp="0" diagonalDown="0">
        <left/>
        <right style="thin">
          <color indexed="64"/>
        </right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 val="0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</font>
    </dxf>
    <dxf>
      <font>
        <b val="0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border diagonalUp="0" diagonalDown="0">
        <left/>
        <right style="thin">
          <color indexed="6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border diagonalUp="0" diagonalDown="0" outline="0">
        <left/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</dxf>
    <dxf>
      <font>
        <b val="0"/>
        <strike val="0"/>
        <outline val="0"/>
        <shadow val="0"/>
        <vertAlign val="baseline"/>
        <sz val="11"/>
        <name val="Calibri"/>
        <family val="2"/>
        <scheme val="minor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left" vertical="bottom" textRotation="0" wrapText="0" indent="0" justifyLastLine="0" shrinkToFit="0" readingOrder="0"/>
    </dxf>
    <dxf>
      <font>
        <b/>
        <i/>
        <strike val="0"/>
        <outline val="0"/>
        <shadow val="0"/>
        <u val="none"/>
        <vertAlign val="baseline"/>
        <sz val="11"/>
        <color theme="5" tint="-0.499984740745262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1"/>
        <color rgb="FF00B050"/>
        <name val="Calibri"/>
        <family val="2"/>
        <scheme val="minor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</font>
    </dxf>
    <dxf>
      <border>
        <bottom style="medium">
          <color indexed="64"/>
        </bottom>
      </border>
    </dxf>
    <dxf>
      <font>
        <i/>
        <strike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numFmt numFmtId="2" formatCode="0.00"/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24A7156-C6AA-4376-BD51-CA75E4BE9B00}" name="TBL_VP" displayName="TBL_VP" ref="B5:D106" totalsRowShown="0" headerRowDxfId="166" dataDxfId="165">
  <autoFilter ref="B5:D106" xr:uid="{FE54E85C-DA4B-4D56-B2BA-384D09906B74}"/>
  <tableColumns count="3">
    <tableColumn id="1" xr3:uid="{0E8506E7-4BA3-41F9-A3FB-F61D4B3FC0DF}" name="IMP" dataDxfId="164"/>
    <tableColumn id="2" xr3:uid="{422CC9A4-B4A0-4060-A3AC-07F6A88B858A}" name="Winner VP" dataDxfId="163"/>
    <tableColumn id="3" xr3:uid="{F0E4C670-96D8-462A-9A00-31232B56E92C}" name="Loser VP" dataDxfId="162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2FE4762-2974-4A95-8C96-CFF0B7FD396A}" name="TBL_S2" displayName="TBL_S2" ref="B3:K26" totalsRowShown="0" headerRowDxfId="23" dataDxfId="22">
  <tableColumns count="10">
    <tableColumn id="1" xr3:uid="{1A6E80D5-D4AE-46CB-98D5-10A36A5724CB}" name="Nr 1" dataDxfId="21"/>
    <tableColumn id="5" xr3:uid="{EBCF6539-D910-4D0B-B456-D5DA7D4BDAC8}" name="&quot;Thuis&quot; ploeg (1)" dataDxfId="20">
      <calculatedColumnFormula>VLOOKUP(TBL_S2[[#This Row],[Nr 1]],TBL_Team[],2,FALSE)</calculatedColumnFormula>
    </tableColumn>
    <tableColumn id="10" xr3:uid="{3B5F2899-DBBC-4B5F-9D84-C5E160DC720E}" name="vs" dataDxfId="19"/>
    <tableColumn id="6" xr3:uid="{2AC034FF-0EAD-453C-997A-A62E3AE94E75}" name="&quot;Uit&quot; ploeg (2)" dataDxfId="18">
      <calculatedColumnFormula>VLOOKUP(TBL_S2[[#This Row],[Nr 2]],TBL_Team[],2,FALSE)</calculatedColumnFormula>
    </tableColumn>
    <tableColumn id="2" xr3:uid="{FC3B01BE-FD86-4BA9-BEA7-9F1E6DD366A3}" name="Nr 2" dataDxfId="17"/>
    <tableColumn id="3" xr3:uid="{974C805D-C7B6-4446-84D7-65B4192923CC}" name="IMP 1" dataDxfId="16"/>
    <tableColumn id="7" xr3:uid="{60DD369E-F5FA-4746-95C9-AA2BA9ABC489}" name="IMP 2" dataDxfId="15"/>
    <tableColumn id="9" xr3:uid="{500F3320-43F6-411D-B158-6482D5D81D55}" name="IMP Diff" dataDxfId="14">
      <calculatedColumnFormula xml:space="preserve"> ABS(TBL_S2[[#This Row],[IMP 2]]-TBL_S2[[#This Row],[IMP 1]])</calculatedColumnFormula>
    </tableColumn>
    <tableColumn id="8" xr3:uid="{4329971B-9705-417B-9A98-C80C74B718BD}" name="VP 1" dataDxfId="13">
      <calculatedColumnFormula xml:space="preserve"> IF(ISBLANK(TBL_S2[[#This Row],[IMP 1]]), "", IF(TBL_S2[[#This Row],[IMP 1]]&gt;TBL_S2[[#This Row],[IMP 2]], VLOOKUP(TBL_S2[[#This Row],[IMP Diff]],TBL_VP[], 2, TRUE), VLOOKUP(TBL_S2[[#This Row],[IMP Diff]],TBL_VP[], 3, TRUE)))</calculatedColumnFormula>
    </tableColumn>
    <tableColumn id="11" xr3:uid="{498B1705-C66C-4E06-BDDA-29AFE72C13DF}" name="VP 2" dataDxfId="12">
      <calculatedColumnFormula xml:space="preserve"> IF(ISBLANK(TBL_S2[[#This Row],[IMP 2]]), "", IF(TBL_S2[[#This Row],[IMP 2]]&gt;TBL_S2[[#This Row],[IMP 1]], VLOOKUP(TBL_S2[[#This Row],[IMP Diff]],TBL_VP[], 2, TRUE), VLOOKUP(TBL_S2[[#This Row],[IMP Diff]],TBL_VP[], 3, TRUE)))</calculatedColumnFormula>
    </tableColumn>
  </tableColumns>
  <tableStyleInfo name="TableStyleMedium7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B6E2599-A689-46C4-91A9-A80F346CD83C}" name="TBL_S1" displayName="TBL_S1" ref="B3:K26" totalsRowShown="0" headerRowDxfId="11" dataDxfId="10">
  <tableColumns count="10">
    <tableColumn id="1" xr3:uid="{D8F04997-6BCB-4AA0-B5BF-2661FFB7CD4C}" name="Nr 1" dataDxfId="9"/>
    <tableColumn id="5" xr3:uid="{7450BB1A-AC2F-46DF-8C05-16EC389EA8AB}" name="&quot;Thuis&quot; ploeg (1)" dataDxfId="8">
      <calculatedColumnFormula>VLOOKUP(TBL_S1[[#This Row],[Nr 1]],TBL_Team[],2,FALSE)</calculatedColumnFormula>
    </tableColumn>
    <tableColumn id="10" xr3:uid="{658F9750-39A1-4AEA-94C9-D5923B95C3BC}" name="vs" dataDxfId="7"/>
    <tableColumn id="6" xr3:uid="{56815A9A-87F2-450F-B365-8F8CB63C093B}" name="&quot;Uit&quot; ploeg (2)" dataDxfId="6">
      <calculatedColumnFormula>VLOOKUP(TBL_S1[[#This Row],[Nr 2]],TBL_Team[],2,FALSE)</calculatedColumnFormula>
    </tableColumn>
    <tableColumn id="2" xr3:uid="{B2B41118-F335-4D87-B06A-7FA8068B3908}" name="Nr 2" dataDxfId="5"/>
    <tableColumn id="3" xr3:uid="{B484DE51-4D29-43FD-BA89-AC2B1ED8A36E}" name="IMP 1" dataDxfId="4"/>
    <tableColumn id="7" xr3:uid="{3434F943-6E88-4E0E-852C-EC97080172D7}" name="IMP 2" dataDxfId="3"/>
    <tableColumn id="9" xr3:uid="{2A20407F-F790-4222-9E61-478C9645ACF7}" name="IMP Diff" dataDxfId="2">
      <calculatedColumnFormula xml:space="preserve"> ABS(TBL_S1[[#This Row],[IMP 2]]-TBL_S1[[#This Row],[IMP 1]])</calculatedColumnFormula>
    </tableColumn>
    <tableColumn id="8" xr3:uid="{C14AF164-88EA-478D-BFFD-71DE1D0A810B}" name="VP 1" dataDxfId="1">
      <calculatedColumnFormula xml:space="preserve"> IF(ISBLANK(TBL_S1[[#This Row],[IMP 1]]), "", IF(TBL_S1[[#This Row],[IMP 1]]&gt;TBL_S1[[#This Row],[IMP 2]], VLOOKUP(TBL_S1[[#This Row],[IMP Diff]],TBL_VP[], 2, TRUE), VLOOKUP(TBL_S1[[#This Row],[IMP Diff]],TBL_VP[], 3, TRUE)))</calculatedColumnFormula>
    </tableColumn>
    <tableColumn id="11" xr3:uid="{C96F44D3-3796-416C-B5BE-5FFF65A66F95}" name="VP 2" dataDxfId="0">
      <calculatedColumnFormula xml:space="preserve"> IF(ISBLANK(TBL_S1[[#This Row],[IMP 2]]), "", IF(TBL_S1[[#This Row],[IMP 2]]&gt;TBL_S1[[#This Row],[IMP 1]], VLOOKUP(TBL_S1[[#This Row],[IMP Diff]],TBL_VP[], 2, TRUE), VLOOKUP(TBL_S1[[#This Row],[IMP Diff]],TBL_VP[], 3, TRUE)))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A0F3A8-04FB-436B-B518-8A99FA9D0B6D}" name="TBL_Team" displayName="TBL_Team" ref="B2:AO48" totalsRowShown="0" headerRowDxfId="161" dataDxfId="159" headerRowBorderDxfId="160" tableBorderDxfId="158">
  <sortState xmlns:xlrd2="http://schemas.microsoft.com/office/spreadsheetml/2017/richdata2" ref="B3:AC45">
    <sortCondition ref="B3:B45"/>
  </sortState>
  <tableColumns count="40">
    <tableColumn id="13" xr3:uid="{5E65BA49-A76A-45B7-AA9A-2CBECE698824}" name="TeamNr" dataDxfId="157"/>
    <tableColumn id="19" xr3:uid="{3DA38AE6-B6AD-41D1-BFF5-9C9F22ED53F3}" name="Team Naam" dataDxfId="156"/>
    <tableColumn id="1" xr3:uid="{D24AAE7D-EAEC-4155-A952-2ABC9EDEEA1C}" name="Naam Kapitein" dataDxfId="155"/>
    <tableColumn id="2" xr3:uid="{AADB2BDB-772B-4293-A6A6-0F1879E7DDD1}" name="GSM" dataDxfId="154"/>
    <tableColumn id="5" xr3:uid="{B4ABB1FA-BEEA-48D9-A01D-27D1E6471122}" name="Email" dataDxfId="153"/>
    <tableColumn id="16" xr3:uid="{CB3110E8-9D03-443E-8F83-845C28635CA3}" name="VBL nr" dataDxfId="152" dataCellStyle="Hyperlink"/>
    <tableColumn id="10" xr3:uid="{07F1EAA2-9A8F-4DD1-815B-4A19D0CFD752}" name="BBO Alias" dataDxfId="151" dataCellStyle="Hyperlink"/>
    <tableColumn id="3" xr3:uid="{9A4BACCB-2455-420F-BAF2-E888B6055403}" name="Speler 2" dataDxfId="150"/>
    <tableColumn id="17" xr3:uid="{9D01B517-9CCB-4C84-93AE-82FFAEC1E03D}" name="VBL 2" dataDxfId="149"/>
    <tableColumn id="4" xr3:uid="{FCC17737-5D11-4130-8AE0-D3AA33C8898D}" name="Alias 2" dataDxfId="148"/>
    <tableColumn id="11" xr3:uid="{69511A72-369F-48AB-9840-8EA6BC9B58FC}" name="Speler 3" dataDxfId="147"/>
    <tableColumn id="18" xr3:uid="{FDAE9925-B5AE-4D26-9CA4-6F249BEC460E}" name="VBL 3" dataDxfId="146"/>
    <tableColumn id="12" xr3:uid="{EA27FD52-A6DA-4F60-862C-22D294B16C39}" name="Alias 3" dataDxfId="145"/>
    <tableColumn id="14" xr3:uid="{A658F46C-3A15-4430-83AD-80AB378F2B62}" name="Speler 4" dataDxfId="144"/>
    <tableColumn id="20" xr3:uid="{1DF351D0-FE2C-4EE7-BF86-94FD156F7DE1}" name="VBL 4" dataDxfId="143"/>
    <tableColumn id="15" xr3:uid="{5BAB522E-4C38-4FA9-9902-62354F9AE284}" name="Alias 4" dataDxfId="142"/>
    <tableColumn id="7" xr3:uid="{E4272423-6B25-490C-BD66-049E3A922B1F}" name="Speler 5" dataDxfId="141"/>
    <tableColumn id="21" xr3:uid="{3C8876DA-AED8-4AD0-831D-A84B2A60FD5C}" name="VBL 5" dataDxfId="140"/>
    <tableColumn id="9" xr3:uid="{CA6E9C44-7EED-41B9-BBC3-9AD6B4E5E646}" name="Alias 5" dataDxfId="139"/>
    <tableColumn id="26" xr3:uid="{52F3B2C8-6EE9-4CCF-9561-478B21746F8A}" name="Speler 6" dataDxfId="138"/>
    <tableColumn id="27" xr3:uid="{FC907C9B-17F1-4207-80B2-640E687C24E8}" name="VBL 6" dataDxfId="137"/>
    <tableColumn id="28" xr3:uid="{52C81939-B1F5-4F4E-9749-9E6F5AB11FBC}" name="Alias 6" dataDxfId="136"/>
    <tableColumn id="23" xr3:uid="{FA1CD764-3B1A-4789-8CC6-80BCD508F45A}" name="Speler 7" dataDxfId="135"/>
    <tableColumn id="24" xr3:uid="{F1F769E3-8298-4956-88D0-1FD05AFD2DB8}" name="VBL 7" dataDxfId="134"/>
    <tableColumn id="25" xr3:uid="{3F7A8060-A428-4D30-930C-B17781137D23}" name="Alias 7" dataDxfId="133"/>
    <tableColumn id="6" xr3:uid="{1DB7218F-B63E-4DE5-8B77-6ED4CCA9F633}" name="Speler 8" dataDxfId="132" dataCellStyle="Hyperlink"/>
    <tableColumn id="22" xr3:uid="{BD02FD2C-5651-4A94-B3A0-B9488992490B}" name="VBL 8" dataDxfId="131"/>
    <tableColumn id="8" xr3:uid="{FD36975B-908A-4FFD-A65E-00BDFCF18E14}" name="Alias 8" dataDxfId="130"/>
    <tableColumn id="29" xr3:uid="{C7EE362A-ADBA-4D06-8217-42D74CCEDBBF}" name="Speler 9" dataDxfId="129"/>
    <tableColumn id="30" xr3:uid="{55F3763F-013C-47AC-9EF9-C9367C52A2B7}" name="VBL 9" dataDxfId="128"/>
    <tableColumn id="31" xr3:uid="{4A4B2AF9-DFE1-4C6D-BD14-452CF47FC34B}" name="Alias 9" dataDxfId="127"/>
    <tableColumn id="32" xr3:uid="{389E2B1D-C2B2-45A6-A993-31CDE3AC59A5}" name="Speler 10" dataDxfId="126"/>
    <tableColumn id="33" xr3:uid="{15085E48-B226-40D7-8340-ABF86ECA79D2}" name="VBL 10" dataDxfId="125"/>
    <tableColumn id="34" xr3:uid="{A9AE49C5-4236-4DC2-A127-85620E622670}" name="Alias 10" dataDxfId="124"/>
    <tableColumn id="38" xr3:uid="{C2E2DF40-502F-4C07-B417-20E94FF26E8F}" name="Speler 11" dataDxfId="123"/>
    <tableColumn id="39" xr3:uid="{91E04936-24C5-4CA9-9158-123E4A7FB4FA}" name="VBL 11" dataDxfId="122"/>
    <tableColumn id="40" xr3:uid="{74E78801-C4E2-4465-9EE2-0F436EB2F5DD}" name="Alias 11" dataDxfId="121"/>
    <tableColumn id="35" xr3:uid="{36366DD6-EAE5-4A27-A058-C2B782E3B715}" name="Speler 12" dataDxfId="120"/>
    <tableColumn id="36" xr3:uid="{86C6C794-1C49-4AB8-ABE2-A3420E70E4B2}" name="VBL 12" dataDxfId="119"/>
    <tableColumn id="37" xr3:uid="{BF5CC365-CF60-415C-BD75-D765CCEA1EDF}" name="Alias 12" dataDxfId="118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C31AA37-3E85-4533-AEDD-3D9BC848DCC4}" name="TBL_Rank" displayName="TBL_Rank" ref="C3:U49" totalsRowShown="0" headerRowDxfId="117" dataDxfId="116" tableBorderDxfId="115">
  <tableColumns count="19">
    <tableColumn id="1" xr3:uid="{342F7F42-1423-4866-88C8-7AB28F9DDD43}" name="Team Nr" dataDxfId="114"/>
    <tableColumn id="2" xr3:uid="{79ACBB33-6C92-4454-83D6-C722F8EE03A4}" name="Team Naam" dataDxfId="113">
      <calculatedColumnFormula xml:space="preserve"> VLOOKUP(TBL_Rank[[#This Row],[Team Nr]],TBL_Team[],2,FALSE)</calculatedColumnFormula>
    </tableColumn>
    <tableColumn id="10" xr3:uid="{6C897107-E477-4299-8472-9218F518CB5F}" name="TOTAAL VP" dataDxfId="112">
      <calculatedColumnFormula xml:space="preserve"> SUM(TBL_Rank[[#This Row],[Speeldag 1]:[Speeldag 8]])</calculatedColumnFormula>
    </tableColumn>
    <tableColumn id="8" xr3:uid="{B5CA1B89-2A31-48F1-A38F-6D2F16610025}" name="S1" dataDxfId="111">
      <calculatedColumnFormula xml:space="preserve"> IFERROR(VLOOKUP(TBL_Rank[[#This Row],[Team Nr]],TBL_S1[[Nr 1]:[Nr 2]],5,FALSE), INDEX(TBL_S1[Nr 1], MATCH(TBL_Rank[[#This Row],[Team Nr]],TBL_S1[Nr 2],0)))</calculatedColumnFormula>
    </tableColumn>
    <tableColumn id="9" xr3:uid="{0B526BB0-1F43-42BF-9C9D-F884E9D8B3A9}" name="S2" dataDxfId="110">
      <calculatedColumnFormula xml:space="preserve"> IFERROR(VLOOKUP(TBL_Rank[[#This Row],[Team Nr]],TBL_S2[[Nr 1]:[Nr 2]],5,FALSE), INDEX(TBL_S2[Nr 1], MATCH(TBL_Rank[[#This Row],[Team Nr]],TBL_S2[Nr 2],0)))</calculatedColumnFormula>
    </tableColumn>
    <tableColumn id="11" xr3:uid="{49089C37-74D0-41F7-B420-90A6D3AB33D1}" name="S3" dataDxfId="109">
      <calculatedColumnFormula xml:space="preserve"> IFERROR(VLOOKUP(TBL_Rank[[#This Row],[Team Nr]],TBL_S3[[Nr 1]:[Nr 2]],5,FALSE), INDEX(TBL_S3[Nr 1], MATCH(TBL_Rank[[#This Row],[Team Nr]],TBL_S3[Nr 2],0)))</calculatedColumnFormula>
    </tableColumn>
    <tableColumn id="12" xr3:uid="{A6FE129A-B458-48E1-9DBE-858C57AD4B18}" name="S4" dataDxfId="108">
      <calculatedColumnFormula xml:space="preserve"> IFERROR(VLOOKUP(TBL_Rank[[#This Row],[Team Nr]],TBL_S4[[Nr 1]:[Nr 2]],5,FALSE), INDEX(TBL_S4[Nr 1], MATCH(TBL_Rank[[#This Row],[Team Nr]],TBL_S4[Nr 2],0)))</calculatedColumnFormula>
    </tableColumn>
    <tableColumn id="17" xr3:uid="{3DEEC41A-311F-4761-BF59-8880188FB428}" name="S5" dataDxfId="107">
      <calculatedColumnFormula xml:space="preserve"> IFERROR(VLOOKUP(TBL_Rank[[#This Row],[Team Nr]],TBL_S5[[Nr 1]:[Nr 2]],5,FALSE), INDEX(TBL_S5[Nr 1], MATCH(TBL_Rank[[#This Row],[Team Nr]],TBL_S5[Nr 2],0)))</calculatedColumnFormula>
    </tableColumn>
    <tableColumn id="16" xr3:uid="{E2A921A6-D547-4594-8639-C6828D4AE681}" name="S6" dataDxfId="106"/>
    <tableColumn id="14" xr3:uid="{E509C5AE-1725-4A28-B29C-19D86C0A9555}" name="S7" dataDxfId="105"/>
    <tableColumn id="13" xr3:uid="{0314E501-CCC5-4F4F-B717-AD1DF363FFAB}" name="S8" dataDxfId="104"/>
    <tableColumn id="3" xr3:uid="{EA492BFD-EFC3-4A90-BF0F-FA8B75B66542}" name="Speeldag 1" dataDxfId="103">
      <calculatedColumnFormula xml:space="preserve"> IFERROR(VLOOKUP(TBL_Rank[[#This Row],[Team Naam]],TBL_S1[["Thuis" ploeg (1)]:[VP 2]],8,FALSE), VLOOKUP(TBL_Rank[[#This Row],[Team Naam]],TBL_S1[["Uit" ploeg (2)]:[VP 2]],7,FALSE))</calculatedColumnFormula>
    </tableColumn>
    <tableColumn id="4" xr3:uid="{806C5A52-54F6-46A6-A9C2-C642444B2550}" name="Speeldag 2" dataDxfId="102">
      <calculatedColumnFormula xml:space="preserve"> IFERROR(VLOOKUP(TBL_Rank[[#This Row],[Team Naam]],TBL_S2[["Thuis" ploeg (1)]:[VP 2]],8,FALSE), VLOOKUP(TBL_Rank[[#This Row],[Team Naam]],TBL_S2[["Uit" ploeg (2)]:[VP 2]],7,FALSE))</calculatedColumnFormula>
    </tableColumn>
    <tableColumn id="5" xr3:uid="{F29F7971-5D0E-49D0-9F14-0E658B7EF9D6}" name="Speeldag 3" dataDxfId="101">
      <calculatedColumnFormula xml:space="preserve"> IFERROR(VLOOKUP(TBL_Rank[[#This Row],[Team Naam]],TBL_S3[["Thuis" ploeg (1)]:[VP 2]],8,FALSE), VLOOKUP(TBL_Rank[[#This Row],[Team Naam]],TBL_S3[["Uit" ploeg (2)]:[VP 2]],7,FALSE))</calculatedColumnFormula>
    </tableColumn>
    <tableColumn id="6" xr3:uid="{5B1056FB-B9E5-4BD5-98FC-9CE14175158A}" name="Speeldag 4" dataDxfId="100">
      <calculatedColumnFormula xml:space="preserve"> IFERROR(VLOOKUP(TBL_Rank[[#This Row],[Team Naam]],TBL_S4[["Thuis" ploeg (1)]:[VP 2]],8,FALSE), VLOOKUP(TBL_Rank[[#This Row],[Team Naam]],TBL_S4[["Uit" ploeg (2)]:[VP 2]],7,FALSE))</calculatedColumnFormula>
    </tableColumn>
    <tableColumn id="20" xr3:uid="{4B4706D5-7997-41C2-B162-25026B4B9B89}" name="Speeldag 5" dataDxfId="99">
      <calculatedColumnFormula xml:space="preserve"> IFERROR(VLOOKUP(TBL_Rank[[#This Row],[Team Naam]],TBL_S5[["Thuis" ploeg (1)]:[VP 2]],8,FALSE), VLOOKUP(TBL_Rank[[#This Row],[Team Naam]],TBL_S5[["Uit" ploeg (2)]:[VP 2]],7,FALSE))</calculatedColumnFormula>
    </tableColumn>
    <tableColumn id="19" xr3:uid="{159BFA03-BEBD-4A11-8399-3758FDE0CA84}" name="Speeldag 6" dataDxfId="98">
      <calculatedColumnFormula xml:space="preserve"> IFERROR(VLOOKUP(TBL_Rank[[#This Row],[Team Naam]],TBL_S6[["Thuis" ploeg (1)]:[VP 2]],8,FALSE), VLOOKUP(TBL_Rank[[#This Row],[Team Naam]],TBL_S6[["Uit" ploeg (2)]:[VP 2]],7,FALSE))</calculatedColumnFormula>
    </tableColumn>
    <tableColumn id="18" xr3:uid="{CF8C1CEB-7F20-49D8-B573-CCCBACCB5A74}" name="Speeldag 7" dataDxfId="97">
      <calculatedColumnFormula xml:space="preserve"> IFERROR(VLOOKUP(TBL_Rank[[#This Row],[Team Naam]],TBL_S7[["Thuis" ploeg (1)]:[VP 2]],8,FALSE), VLOOKUP(TBL_Rank[[#This Row],[Team Naam]],TBL_S7[["Uit" ploeg (2)]:[VP 2]],7,FALSE))</calculatedColumnFormula>
    </tableColumn>
    <tableColumn id="7" xr3:uid="{A1666474-D52C-410E-BF22-B87BC1FAA07F}" name="Speeldag 8" dataDxfId="96">
      <calculatedColumnFormula xml:space="preserve"> IFERROR(VLOOKUP(TBL_Rank[[#This Row],[Team Naam]],TBL_S8[["Thuis" ploeg (1)]:[VP 2]],8,FALSE), VLOOKUP(TBL_Rank[[#This Row],[Team Naam]],TBL_S8[["Uit" ploeg (2)]:[VP 2]],7,FALSE))</calculatedColumnFormula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9A2442C-6607-4E6E-9D56-A6B67D608048}" name="TBL_S8" displayName="TBL_S8" ref="B3:K29" totalsRowShown="0" headerRowDxfId="95" dataDxfId="94">
  <tableColumns count="10">
    <tableColumn id="1" xr3:uid="{26F4D5F1-A6E3-4E03-8FAB-FFFC90EEE923}" name="Nr 1" dataDxfId="93"/>
    <tableColumn id="5" xr3:uid="{B6E7ADC5-3047-4B46-B891-1725D20ED4FE}" name="&quot;Thuis&quot; ploeg (1)" dataDxfId="92">
      <calculatedColumnFormula>VLOOKUP(TBL_S8[[#This Row],[Nr 1]],TBL_Team[],2,FALSE)</calculatedColumnFormula>
    </tableColumn>
    <tableColumn id="10" xr3:uid="{C08EAC70-2602-4F1F-B337-92F2EEC60777}" name="vs" dataDxfId="91"/>
    <tableColumn id="6" xr3:uid="{A6C22491-A86D-4559-A4AC-D232CF37D095}" name="&quot;Uit&quot; ploeg (2)" dataDxfId="90">
      <calculatedColumnFormula>VLOOKUP(TBL_S8[[#This Row],[Nr 2]],TBL_Team[],2,FALSE)</calculatedColumnFormula>
    </tableColumn>
    <tableColumn id="2" xr3:uid="{B625410C-611A-4379-AABA-748923B3BC28}" name="Nr 2" dataDxfId="89"/>
    <tableColumn id="3" xr3:uid="{9FB6E5B8-0491-4FF0-A3C6-342F62196833}" name="IMP 1" dataDxfId="88"/>
    <tableColumn id="7" xr3:uid="{A2E0C604-B4AC-4BB8-A16A-D0A624E3AB27}" name="IMP 2" dataDxfId="87"/>
    <tableColumn id="9" xr3:uid="{64ED6E6A-32E7-4008-AA86-A46A01B15C4D}" name="IMP Diff" dataDxfId="86">
      <calculatedColumnFormula xml:space="preserve"> ABS(TBL_S8[[#This Row],[IMP 2]]-TBL_S8[[#This Row],[IMP 1]])</calculatedColumnFormula>
    </tableColumn>
    <tableColumn id="8" xr3:uid="{5607713C-A394-4B43-A6FE-C31256729230}" name="VP 1" dataDxfId="85">
      <calculatedColumnFormula xml:space="preserve"> IF(ISBLANK(TBL_S8[[#This Row],[IMP 1]]), "", IF(TBL_S8[[#This Row],[IMP 1]]&gt;TBL_S8[[#This Row],[IMP 2]], VLOOKUP(TBL_S8[[#This Row],[IMP Diff]],TBL_VP[], 2, TRUE), VLOOKUP(TBL_S8[[#This Row],[IMP Diff]],TBL_VP[], 3, TRUE)))</calculatedColumnFormula>
    </tableColumn>
    <tableColumn id="11" xr3:uid="{EB921A31-54FA-46A6-9040-7B1AC23A5987}" name="VP 2" dataDxfId="84">
      <calculatedColumnFormula xml:space="preserve"> IF(ISBLANK(TBL_S8[[#This Row],[IMP 2]]), "", IF(TBL_S8[[#This Row],[IMP 2]]&gt;TBL_S8[[#This Row],[IMP 1]], VLOOKUP(TBL_S8[[#This Row],[IMP Diff]],TBL_VP[], 2, TRUE), VLOOKUP(TBL_S8[[#This Row],[IMP Diff]],TBL_VP[], 3, TRUE)))</calculatedColumnFormula>
    </tableColumn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8E9B469-E102-4CCF-824C-1825696F7DF6}" name="TBL_S7" displayName="TBL_S7" ref="B3:K28" totalsRowShown="0" headerRowDxfId="83" dataDxfId="82">
  <tableColumns count="10">
    <tableColumn id="1" xr3:uid="{AE1C9227-4DA1-494A-B2E1-B8BC737A3D61}" name="Nr 1" dataDxfId="81"/>
    <tableColumn id="5" xr3:uid="{2BAAC4DC-B0C5-44BC-9488-6A7E53432277}" name="&quot;Thuis&quot; ploeg (1)" dataDxfId="80">
      <calculatedColumnFormula>VLOOKUP(TBL_S7[[#This Row],[Nr 1]],TBL_Team[],2,FALSE)</calculatedColumnFormula>
    </tableColumn>
    <tableColumn id="10" xr3:uid="{56465F40-C425-4356-B39B-264CF7996111}" name="vs" dataDxfId="79"/>
    <tableColumn id="6" xr3:uid="{C5F01272-4313-4E85-B86A-F6B36D3F5C4D}" name="&quot;Uit&quot; ploeg (2)" dataDxfId="78">
      <calculatedColumnFormula>VLOOKUP(TBL_S7[[#This Row],[Nr 2]],TBL_Team[],2,FALSE)</calculatedColumnFormula>
    </tableColumn>
    <tableColumn id="2" xr3:uid="{2C24E18F-0B15-4891-BB33-C0DE82EECFD3}" name="Nr 2" dataDxfId="77"/>
    <tableColumn id="3" xr3:uid="{C6BBAAD2-9DC2-4A3B-BA72-B4591763980A}" name="IMP 1" dataDxfId="76"/>
    <tableColumn id="7" xr3:uid="{5962BD1A-BEAE-4B35-859B-783FBBDA486C}" name="IMP 2" dataDxfId="75"/>
    <tableColumn id="9" xr3:uid="{540A2ADA-89B4-425D-B56F-0D2044B26F12}" name="IMP Diff" dataDxfId="74">
      <calculatedColumnFormula xml:space="preserve"> ABS(TBL_S7[[#This Row],[IMP 2]]-TBL_S7[[#This Row],[IMP 1]])</calculatedColumnFormula>
    </tableColumn>
    <tableColumn id="8" xr3:uid="{36AFE173-2D10-4DC1-BE53-BD0AD95641FF}" name="VP 1" dataDxfId="73">
      <calculatedColumnFormula xml:space="preserve"> IF(ISBLANK(TBL_S7[[#This Row],[IMP 1]]), "", IF(TBL_S7[[#This Row],[IMP 1]]&gt;TBL_S7[[#This Row],[IMP 2]], VLOOKUP(TBL_S7[[#This Row],[IMP Diff]],TBL_VP[], 2, TRUE), VLOOKUP(TBL_S7[[#This Row],[IMP Diff]],TBL_VP[], 3, TRUE)))</calculatedColumnFormula>
    </tableColumn>
    <tableColumn id="11" xr3:uid="{25E4E058-ABCE-40D0-8575-7FD73D45C5D0}" name="VP 2" dataDxfId="72">
      <calculatedColumnFormula xml:space="preserve"> IF(ISBLANK(TBL_S7[[#This Row],[IMP 2]]), "", IF(TBL_S7[[#This Row],[IMP 2]]&gt;TBL_S7[[#This Row],[IMP 1]], VLOOKUP(TBL_S7[[#This Row],[IMP Diff]],TBL_VP[], 2, TRUE), VLOOKUP(TBL_S7[[#This Row],[IMP Diff]],TBL_VP[], 3, TRUE)))</calculatedColumnFormula>
    </tableColumn>
  </tableColumns>
  <tableStyleInfo name="TableStyleMedium7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AB29636A-8346-47C7-BB34-9EF6558C0229}" name="TBL_S6" displayName="TBL_S6" ref="B3:K28" totalsRowShown="0" headerRowDxfId="71" dataDxfId="70">
  <tableColumns count="10">
    <tableColumn id="1" xr3:uid="{D6B061A4-C22C-4CA9-8346-7088957EE134}" name="Nr 1" dataDxfId="69"/>
    <tableColumn id="5" xr3:uid="{DF9EA67E-DF47-4C6F-9917-CAF21A306F9B}" name="&quot;Thuis&quot; ploeg (1)" dataDxfId="68">
      <calculatedColumnFormula>VLOOKUP(TBL_S6[[#This Row],[Nr 1]],TBL_Team[],2,FALSE)</calculatedColumnFormula>
    </tableColumn>
    <tableColumn id="10" xr3:uid="{46ACD5FD-468C-41EB-8129-93EBBF1E3B79}" name="vs" dataDxfId="67"/>
    <tableColumn id="6" xr3:uid="{5742A615-C4DB-4F0C-8CEF-236C2BA20812}" name="&quot;Uit&quot; ploeg (2)" dataDxfId="66">
      <calculatedColumnFormula>VLOOKUP(TBL_S6[[#This Row],[Nr 2]],TBL_Team[],2,FALSE)</calculatedColumnFormula>
    </tableColumn>
    <tableColumn id="2" xr3:uid="{933E3F33-F4D0-41B5-9210-3191E9027205}" name="Nr 2" dataDxfId="65"/>
    <tableColumn id="3" xr3:uid="{0E5CAAB1-4A7E-4504-8E17-917B56F104AD}" name="IMP 1" dataDxfId="64"/>
    <tableColumn id="7" xr3:uid="{FB445C95-8439-4119-8F91-34D2C72E9560}" name="IMP 2" dataDxfId="63"/>
    <tableColumn id="9" xr3:uid="{99F2C507-9FE0-4011-B84C-21DDDBEBDAD6}" name="IMP Diff" dataDxfId="62">
      <calculatedColumnFormula xml:space="preserve"> ABS(TBL_S6[[#This Row],[IMP 2]]-TBL_S6[[#This Row],[IMP 1]])</calculatedColumnFormula>
    </tableColumn>
    <tableColumn id="8" xr3:uid="{394CB2FE-EBDA-416D-A68E-480B40FA1189}" name="VP 1" dataDxfId="61">
      <calculatedColumnFormula xml:space="preserve"> IF(ISBLANK(TBL_S6[[#This Row],[IMP 1]]), "", IF(TBL_S6[[#This Row],[IMP 1]]&gt;TBL_S6[[#This Row],[IMP 2]], VLOOKUP(TBL_S6[[#This Row],[IMP Diff]],TBL_VP[], 2, TRUE), VLOOKUP(TBL_S6[[#This Row],[IMP Diff]],TBL_VP[], 3, TRUE)))</calculatedColumnFormula>
    </tableColumn>
    <tableColumn id="11" xr3:uid="{B1EA3C29-0477-4C36-91FC-8416FED089B4}" name="VP 2" dataDxfId="60">
      <calculatedColumnFormula xml:space="preserve"> IF(ISBLANK(TBL_S6[[#This Row],[IMP 2]]), "", IF(TBL_S6[[#This Row],[IMP 2]]&gt;TBL_S6[[#This Row],[IMP 1]], VLOOKUP(TBL_S6[[#This Row],[IMP Diff]],TBL_VP[], 2, TRUE), VLOOKUP(TBL_S6[[#This Row],[IMP Diff]],TBL_VP[], 3, TRUE)))</calculatedColumnFormula>
    </tableColumn>
  </tableColumns>
  <tableStyleInfo name="TableStyleMedium7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AD7D0530-CFE2-453E-9ED4-7D6A942CD2C8}" name="TBL_S5" displayName="TBL_S5" ref="B3:K26" totalsRowShown="0" headerRowDxfId="59" dataDxfId="58">
  <tableColumns count="10">
    <tableColumn id="1" xr3:uid="{577B5610-D503-4D25-BDD9-3CE85DB8A266}" name="Nr 1" dataDxfId="57"/>
    <tableColumn id="5" xr3:uid="{E905429A-8327-4A4E-8F9B-01110B77186E}" name="&quot;Thuis&quot; ploeg (1)" dataDxfId="56">
      <calculatedColumnFormula>VLOOKUP(TBL_S5[[#This Row],[Nr 1]],TBL_Team[],2,FALSE)</calculatedColumnFormula>
    </tableColumn>
    <tableColumn id="10" xr3:uid="{DBF599C2-874F-4889-A4B6-4FABC5C6627E}" name="vs" dataDxfId="55"/>
    <tableColumn id="6" xr3:uid="{2C9C2B97-2C42-4359-88F2-D1F2D47DD41A}" name="&quot;Uit&quot; ploeg (2)" dataDxfId="54">
      <calculatedColumnFormula>VLOOKUP(TBL_S5[[#This Row],[Nr 2]],TBL_Team[],2,FALSE)</calculatedColumnFormula>
    </tableColumn>
    <tableColumn id="2" xr3:uid="{B01E2C21-A47C-4AC9-8090-9DEF3CC7932F}" name="Nr 2" dataDxfId="53"/>
    <tableColumn id="3" xr3:uid="{DF9FDC72-FDFF-437F-921C-2592654D6D35}" name="IMP 1" dataDxfId="52"/>
    <tableColumn id="7" xr3:uid="{EDD7822D-B02B-4F32-8C40-6D07754384F5}" name="IMP 2" dataDxfId="51"/>
    <tableColumn id="9" xr3:uid="{9EB28F16-B1E1-4D8F-A954-4AA4E708AAF2}" name="IMP Diff" dataDxfId="50">
      <calculatedColumnFormula xml:space="preserve"> ABS(TBL_S5[[#This Row],[IMP 2]]-TBL_S5[[#This Row],[IMP 1]])</calculatedColumnFormula>
    </tableColumn>
    <tableColumn id="8" xr3:uid="{4C680098-FA5F-4D73-926D-415101BA3EE8}" name="VP 1" dataDxfId="49">
      <calculatedColumnFormula xml:space="preserve"> IF(ISBLANK(TBL_S5[[#This Row],[IMP 1]]), "", IF(TBL_S5[[#This Row],[IMP 1]]&gt;TBL_S5[[#This Row],[IMP 2]], VLOOKUP(TBL_S5[[#This Row],[IMP Diff]],TBL_VP[], 2, TRUE), VLOOKUP(TBL_S5[[#This Row],[IMP Diff]],TBL_VP[], 3, TRUE)))</calculatedColumnFormula>
    </tableColumn>
    <tableColumn id="11" xr3:uid="{31BEEB2A-CAAF-43A8-9D9F-BA561D95ECB5}" name="VP 2" dataDxfId="48">
      <calculatedColumnFormula xml:space="preserve"> IF(ISBLANK(TBL_S5[[#This Row],[IMP 2]]), "", IF(TBL_S5[[#This Row],[IMP 2]]&gt;TBL_S5[[#This Row],[IMP 1]], VLOOKUP(TBL_S5[[#This Row],[IMP Diff]],TBL_VP[], 2, TRUE), VLOOKUP(TBL_S5[[#This Row],[IMP Diff]],TBL_VP[], 3, TRUE)))</calculatedColumnFormula>
    </tableColumn>
  </tableColumns>
  <tableStyleInfo name="TableStyleMedium7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1086D4C7-9AEB-4C49-8678-C7B880B839DE}" name="TBL_S4" displayName="TBL_S4" ref="B3:K26" totalsRowShown="0" headerRowDxfId="47" dataDxfId="46">
  <tableColumns count="10">
    <tableColumn id="1" xr3:uid="{05CAD128-5156-435A-95C3-7C67C0399AA1}" name="Nr 1" dataDxfId="45"/>
    <tableColumn id="5" xr3:uid="{35D33D67-9A38-4E62-B09A-78C7A0188629}" name="&quot;Thuis&quot; ploeg (1)" dataDxfId="44">
      <calculatedColumnFormula>VLOOKUP(TBL_S4[[#This Row],[Nr 1]],TBL_Team[],2,FALSE)</calculatedColumnFormula>
    </tableColumn>
    <tableColumn id="10" xr3:uid="{AC404177-63ED-40B8-8111-3CE3B032BAB0}" name="vs" dataDxfId="43"/>
    <tableColumn id="6" xr3:uid="{643BDE42-D7FF-4A0F-88C0-E9EF1C2D7153}" name="&quot;Uit&quot; ploeg (2)" dataDxfId="42">
      <calculatedColumnFormula>VLOOKUP(TBL_S4[[#This Row],[Nr 2]],TBL_Team[],2,FALSE)</calculatedColumnFormula>
    </tableColumn>
    <tableColumn id="2" xr3:uid="{ECEF92BA-190D-4E09-9E99-21D2C3967AF7}" name="Nr 2" dataDxfId="41"/>
    <tableColumn id="3" xr3:uid="{86E4AF2A-14DB-4A1E-995E-A8138F22C083}" name="IMP 1" dataDxfId="40"/>
    <tableColumn id="7" xr3:uid="{6761F889-8B34-4D4A-A52F-B94C39C753BA}" name="IMP 2" dataDxfId="39"/>
    <tableColumn id="9" xr3:uid="{412A79BD-3FD3-4F1D-95BF-2E6B5DCA7063}" name="IMP Diff" dataDxfId="38">
      <calculatedColumnFormula xml:space="preserve"> ABS(TBL_S4[[#This Row],[IMP 2]]-TBL_S4[[#This Row],[IMP 1]])</calculatedColumnFormula>
    </tableColumn>
    <tableColumn id="8" xr3:uid="{B23D74F2-6946-4ABD-BBE1-34A0C1A10BD0}" name="VP 1" dataDxfId="37">
      <calculatedColumnFormula xml:space="preserve"> IF(ISBLANK(TBL_S4[[#This Row],[IMP 1]]), "", IF(TBL_S4[[#This Row],[IMP 1]]&gt;TBL_S4[[#This Row],[IMP 2]], VLOOKUP(TBL_S4[[#This Row],[IMP Diff]],TBL_VP[], 2, TRUE), VLOOKUP(TBL_S4[[#This Row],[IMP Diff]],TBL_VP[], 3, TRUE)))</calculatedColumnFormula>
    </tableColumn>
    <tableColumn id="11" xr3:uid="{42365AFA-D3E2-4ABA-8C0A-AECE29DDE5F9}" name="VP 2" dataDxfId="36">
      <calculatedColumnFormula xml:space="preserve"> IF(ISBLANK(TBL_S4[[#This Row],[IMP 2]]), "", IF(TBL_S4[[#This Row],[IMP 2]]&gt;TBL_S4[[#This Row],[IMP 1]], VLOOKUP(TBL_S4[[#This Row],[IMP Diff]],TBL_VP[], 2, TRUE), VLOOKUP(TBL_S4[[#This Row],[IMP Diff]],TBL_VP[], 3, TRUE)))</calculatedColumnFormula>
    </tableColumn>
  </tableColumns>
  <tableStyleInfo name="TableStyleMedium7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BD3E132-6E6A-44FA-B964-5005CAADBD4B}" name="TBL_S3" displayName="TBL_S3" ref="B3:K26" totalsRowShown="0" headerRowDxfId="35" dataDxfId="34">
  <tableColumns count="10">
    <tableColumn id="1" xr3:uid="{5EEF69BE-15B3-4116-AFA3-C1DF326E7743}" name="Nr 1" dataDxfId="33"/>
    <tableColumn id="5" xr3:uid="{E4B68111-D609-4F71-8B59-85E43CD7A24B}" name="&quot;Thuis&quot; ploeg (1)" dataDxfId="32">
      <calculatedColumnFormula>VLOOKUP(TBL_S3[[#This Row],[Nr 1]],TBL_Team[],2,FALSE)</calculatedColumnFormula>
    </tableColumn>
    <tableColumn id="10" xr3:uid="{F6C1D01E-E10D-432C-A092-6BF4B2F40F67}" name="vs" dataDxfId="31"/>
    <tableColumn id="6" xr3:uid="{FA7B64A1-F18D-4C18-8104-DF94992FBF7D}" name="&quot;Uit&quot; ploeg (2)" dataDxfId="30">
      <calculatedColumnFormula>VLOOKUP(TBL_S3[[#This Row],[Nr 2]],TBL_Team[],2,FALSE)</calculatedColumnFormula>
    </tableColumn>
    <tableColumn id="2" xr3:uid="{3FAB229F-2832-4A13-95EB-987C023504F5}" name="Nr 2" dataDxfId="29"/>
    <tableColumn id="3" xr3:uid="{2FC17F56-9295-49FF-AFB0-A8B00BE8609F}" name="IMP 1" dataDxfId="28"/>
    <tableColumn id="7" xr3:uid="{695DAC2A-93D0-474D-A609-777E050620FF}" name="IMP 2" dataDxfId="27"/>
    <tableColumn id="9" xr3:uid="{0F38C5C1-A390-4620-8D34-E6AF6039ECA4}" name="IMP Diff" dataDxfId="26">
      <calculatedColumnFormula xml:space="preserve"> ABS(TBL_S3[[#This Row],[IMP 2]]-TBL_S3[[#This Row],[IMP 1]])</calculatedColumnFormula>
    </tableColumn>
    <tableColumn id="8" xr3:uid="{61A04D69-BDA3-4DF7-A4D8-92668800C94D}" name="VP 1" dataDxfId="25">
      <calculatedColumnFormula xml:space="preserve"> IF(ISBLANK(TBL_S3[[#This Row],[IMP 1]]), "", IF(TBL_S3[[#This Row],[IMP 1]]&gt;TBL_S3[[#This Row],[IMP 2]], VLOOKUP(TBL_S3[[#This Row],[IMP Diff]],TBL_VP[], 2, TRUE), VLOOKUP(TBL_S3[[#This Row],[IMP Diff]],TBL_VP[], 3, TRUE)))</calculatedColumnFormula>
    </tableColumn>
    <tableColumn id="11" xr3:uid="{389B2ED1-7478-4F81-BD8F-636AC151871C}" name="VP 2" dataDxfId="24">
      <calculatedColumnFormula xml:space="preserve"> IF(ISBLANK(TBL_S3[[#This Row],[IMP 2]]), "", IF(TBL_S3[[#This Row],[IMP 2]]&gt;TBL_S3[[#This Row],[IMP 1]], VLOOKUP(TBL_S3[[#This Row],[IMP Diff]],TBL_VP[], 2, TRUE), VLOOKUP(TBL_S3[[#This Row],[IMP Diff]],TBL_VP[], 3, TRUE)))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miekevanrostenberghe@telenet.be" TargetMode="External"/><Relationship Id="rId18" Type="http://schemas.openxmlformats.org/officeDocument/2006/relationships/hyperlink" Target="mailto:davari.dvr@gmail.com" TargetMode="External"/><Relationship Id="rId26" Type="http://schemas.openxmlformats.org/officeDocument/2006/relationships/hyperlink" Target="mailto:jos.borremans@hotmail.com" TargetMode="External"/><Relationship Id="rId39" Type="http://schemas.openxmlformats.org/officeDocument/2006/relationships/hyperlink" Target="mailto:karoline.bruggeman@telenet.be" TargetMode="External"/><Relationship Id="rId21" Type="http://schemas.openxmlformats.org/officeDocument/2006/relationships/hyperlink" Target="mailto:norbert.verfaillie@skynet.be" TargetMode="External"/><Relationship Id="rId34" Type="http://schemas.openxmlformats.org/officeDocument/2006/relationships/hyperlink" Target="mailto:jansvandermeer@proximus.be" TargetMode="External"/><Relationship Id="rId42" Type="http://schemas.openxmlformats.org/officeDocument/2006/relationships/hyperlink" Target="mailto:Chris.falleyn@gmail.com" TargetMode="External"/><Relationship Id="rId47" Type="http://schemas.openxmlformats.org/officeDocument/2006/relationships/printerSettings" Target="../printerSettings/printerSettings2.bin"/><Relationship Id="rId7" Type="http://schemas.openxmlformats.org/officeDocument/2006/relationships/hyperlink" Target="mailto:schutter.rob@gmail.com" TargetMode="External"/><Relationship Id="rId2" Type="http://schemas.openxmlformats.org/officeDocument/2006/relationships/hyperlink" Target="mailto:geert.christiaens2@telenet.be" TargetMode="External"/><Relationship Id="rId16" Type="http://schemas.openxmlformats.org/officeDocument/2006/relationships/hyperlink" Target="mailto:johan.de.ridder2@telenet.be" TargetMode="External"/><Relationship Id="rId29" Type="http://schemas.openxmlformats.org/officeDocument/2006/relationships/hyperlink" Target="mailto:didier.verdeyen@skynet.be" TargetMode="External"/><Relationship Id="rId1" Type="http://schemas.openxmlformats.org/officeDocument/2006/relationships/hyperlink" Target="mailto:persoons.emmanuel@skynet.be" TargetMode="External"/><Relationship Id="rId6" Type="http://schemas.openxmlformats.org/officeDocument/2006/relationships/hyperlink" Target="mailto:Peter.Clerbout@axi.be" TargetMode="External"/><Relationship Id="rId11" Type="http://schemas.openxmlformats.org/officeDocument/2006/relationships/hyperlink" Target="mailto:marc.casteleyn@proximus.com" TargetMode="External"/><Relationship Id="rId24" Type="http://schemas.openxmlformats.org/officeDocument/2006/relationships/hyperlink" Target="mailto:carlavanreeth@hotmail.com" TargetMode="External"/><Relationship Id="rId32" Type="http://schemas.openxmlformats.org/officeDocument/2006/relationships/hyperlink" Target="mailto:erik.gerlo@outlook.com" TargetMode="External"/><Relationship Id="rId37" Type="http://schemas.openxmlformats.org/officeDocument/2006/relationships/hyperlink" Target="mailto:martine.wentein@telenet.be" TargetMode="External"/><Relationship Id="rId40" Type="http://schemas.openxmlformats.org/officeDocument/2006/relationships/hyperlink" Target="mailto:hugo.arnou1@telenet.be" TargetMode="External"/><Relationship Id="rId45" Type="http://schemas.openxmlformats.org/officeDocument/2006/relationships/hyperlink" Target="mailto:jan@ponnet.be" TargetMode="External"/><Relationship Id="rId5" Type="http://schemas.openxmlformats.org/officeDocument/2006/relationships/hyperlink" Target="mailto:danielsimoen@yahoo.com" TargetMode="External"/><Relationship Id="rId15" Type="http://schemas.openxmlformats.org/officeDocument/2006/relationships/hyperlink" Target="mailto:hebberecht.bonamie@telenet.be" TargetMode="External"/><Relationship Id="rId23" Type="http://schemas.openxmlformats.org/officeDocument/2006/relationships/hyperlink" Target="mailto:marc_eeckhout@telenet.be" TargetMode="External"/><Relationship Id="rId28" Type="http://schemas.openxmlformats.org/officeDocument/2006/relationships/hyperlink" Target="mailto:Ludo.Vrints@telenet.be" TargetMode="External"/><Relationship Id="rId36" Type="http://schemas.openxmlformats.org/officeDocument/2006/relationships/hyperlink" Target="mailto:guido.vandebeek@gmail.com" TargetMode="External"/><Relationship Id="rId10" Type="http://schemas.openxmlformats.org/officeDocument/2006/relationships/hyperlink" Target="mailto:paul.jacobs9@telenet.be" TargetMode="External"/><Relationship Id="rId19" Type="http://schemas.openxmlformats.org/officeDocument/2006/relationships/hyperlink" Target="mailto:rondeauxliliane@gmail.com" TargetMode="External"/><Relationship Id="rId31" Type="http://schemas.openxmlformats.org/officeDocument/2006/relationships/hyperlink" Target="mailto:leen.neels@telenet.be" TargetMode="External"/><Relationship Id="rId44" Type="http://schemas.openxmlformats.org/officeDocument/2006/relationships/hyperlink" Target="mailto:nadine.westelinck@gmail.com" TargetMode="External"/><Relationship Id="rId4" Type="http://schemas.openxmlformats.org/officeDocument/2006/relationships/hyperlink" Target="mailto:rol.demeyer@telenet.be" TargetMode="External"/><Relationship Id="rId9" Type="http://schemas.openxmlformats.org/officeDocument/2006/relationships/hyperlink" Target="mailto:renz.guns@hotmail.com" TargetMode="External"/><Relationship Id="rId14" Type="http://schemas.openxmlformats.org/officeDocument/2006/relationships/hyperlink" Target="mailto:alain.verbrugge@gmail.com" TargetMode="External"/><Relationship Id="rId22" Type="http://schemas.openxmlformats.org/officeDocument/2006/relationships/hyperlink" Target="mailto:dominique.hamerlinck@gmail.com" TargetMode="External"/><Relationship Id="rId27" Type="http://schemas.openxmlformats.org/officeDocument/2006/relationships/hyperlink" Target="mailto:Goossens.Miriam@gmail.com" TargetMode="External"/><Relationship Id="rId30" Type="http://schemas.openxmlformats.org/officeDocument/2006/relationships/hyperlink" Target="mailto:jose.deglinne@gmail.com" TargetMode="External"/><Relationship Id="rId35" Type="http://schemas.openxmlformats.org/officeDocument/2006/relationships/hyperlink" Target="mailto:paultjeclement@gmail.com" TargetMode="External"/><Relationship Id="rId43" Type="http://schemas.openxmlformats.org/officeDocument/2006/relationships/hyperlink" Target="mailto:h.raeven@skynet.be" TargetMode="External"/><Relationship Id="rId48" Type="http://schemas.openxmlformats.org/officeDocument/2006/relationships/table" Target="../tables/table2.xml"/><Relationship Id="rId8" Type="http://schemas.openxmlformats.org/officeDocument/2006/relationships/hyperlink" Target="mailto:vievg11@gmail.com" TargetMode="External"/><Relationship Id="rId3" Type="http://schemas.openxmlformats.org/officeDocument/2006/relationships/hyperlink" Target="mailto:hvannuten@gmail.com" TargetMode="External"/><Relationship Id="rId12" Type="http://schemas.openxmlformats.org/officeDocument/2006/relationships/hyperlink" Target="mailto:annemie.langhendries@gmail.com" TargetMode="External"/><Relationship Id="rId17" Type="http://schemas.openxmlformats.org/officeDocument/2006/relationships/hyperlink" Target="mailto:hendrik.vantilborgh@skynet.be" TargetMode="External"/><Relationship Id="rId25" Type="http://schemas.openxmlformats.org/officeDocument/2006/relationships/hyperlink" Target="mailto:erikverheyen@belgacom.net" TargetMode="External"/><Relationship Id="rId33" Type="http://schemas.openxmlformats.org/officeDocument/2006/relationships/hyperlink" Target="mailto:nicole.legroe@skynet.be" TargetMode="External"/><Relationship Id="rId38" Type="http://schemas.openxmlformats.org/officeDocument/2006/relationships/hyperlink" Target="mailto:andre.delaporte@telenet.be" TargetMode="External"/><Relationship Id="rId46" Type="http://schemas.openxmlformats.org/officeDocument/2006/relationships/hyperlink" Target="mailto:ericfierens@telenet.be" TargetMode="External"/><Relationship Id="rId20" Type="http://schemas.openxmlformats.org/officeDocument/2006/relationships/hyperlink" Target="mailto:maestra.nv1@telenet.be" TargetMode="External"/><Relationship Id="rId41" Type="http://schemas.openxmlformats.org/officeDocument/2006/relationships/hyperlink" Target="mailto:arthurtrouve@skynet.b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D598B7-7A85-4516-90C3-77045780A8DF}">
  <dimension ref="B2:H106"/>
  <sheetViews>
    <sheetView workbookViewId="0">
      <selection activeCell="G4" sqref="G4"/>
    </sheetView>
  </sheetViews>
  <sheetFormatPr defaultRowHeight="14.4" x14ac:dyDescent="0.3"/>
  <cols>
    <col min="2" max="2" width="8.88671875" style="2" bestFit="1" customWidth="1"/>
    <col min="3" max="3" width="14.33203125" style="14" bestFit="1" customWidth="1"/>
    <col min="4" max="4" width="12.6640625" style="14" bestFit="1" customWidth="1"/>
  </cols>
  <sheetData>
    <row r="2" spans="2:8" x14ac:dyDescent="0.3">
      <c r="B2" s="105" t="s">
        <v>25</v>
      </c>
      <c r="C2" s="105"/>
      <c r="D2" s="105"/>
      <c r="E2" s="15"/>
      <c r="F2" s="15"/>
    </row>
    <row r="3" spans="2:8" x14ac:dyDescent="0.3">
      <c r="B3" s="106" t="s">
        <v>32</v>
      </c>
      <c r="C3" s="106"/>
      <c r="D3" s="106"/>
      <c r="E3" s="106"/>
      <c r="F3" s="106"/>
      <c r="G3" s="106"/>
      <c r="H3" s="106"/>
    </row>
    <row r="5" spans="2:8" x14ac:dyDescent="0.3">
      <c r="B5" s="2" t="s">
        <v>26</v>
      </c>
      <c r="C5" s="14" t="s">
        <v>16</v>
      </c>
      <c r="D5" s="14" t="s">
        <v>17</v>
      </c>
    </row>
    <row r="6" spans="2:8" x14ac:dyDescent="0.3">
      <c r="B6" s="22">
        <v>0</v>
      </c>
      <c r="C6" s="14">
        <v>10</v>
      </c>
      <c r="D6" s="14">
        <f xml:space="preserve"> 20 -TBL_VP[[#This Row],[Winner VP]]</f>
        <v>10</v>
      </c>
    </row>
    <row r="7" spans="2:8" x14ac:dyDescent="0.3">
      <c r="B7" s="2">
        <v>1</v>
      </c>
      <c r="C7" s="14">
        <v>10.28</v>
      </c>
      <c r="D7" s="14">
        <f xml:space="preserve"> 20 -TBL_VP[[#This Row],[Winner VP]]</f>
        <v>9.7200000000000006</v>
      </c>
    </row>
    <row r="8" spans="2:8" x14ac:dyDescent="0.3">
      <c r="B8" s="2">
        <v>2</v>
      </c>
      <c r="C8" s="14">
        <v>10.55</v>
      </c>
      <c r="D8" s="14">
        <f xml:space="preserve"> 20 -TBL_VP[[#This Row],[Winner VP]]</f>
        <v>9.4499999999999993</v>
      </c>
    </row>
    <row r="9" spans="2:8" x14ac:dyDescent="0.3">
      <c r="B9" s="2">
        <v>3</v>
      </c>
      <c r="C9" s="14">
        <v>10.82</v>
      </c>
      <c r="D9" s="14">
        <f xml:space="preserve"> 20 -TBL_VP[[#This Row],[Winner VP]]</f>
        <v>9.18</v>
      </c>
    </row>
    <row r="10" spans="2:8" x14ac:dyDescent="0.3">
      <c r="B10" s="2">
        <v>4</v>
      </c>
      <c r="C10" s="14">
        <v>11.08</v>
      </c>
      <c r="D10" s="14">
        <f xml:space="preserve"> 20 -TBL_VP[[#This Row],[Winner VP]]</f>
        <v>8.92</v>
      </c>
    </row>
    <row r="11" spans="2:8" x14ac:dyDescent="0.3">
      <c r="B11" s="2">
        <v>5</v>
      </c>
      <c r="C11" s="14">
        <v>11.34</v>
      </c>
      <c r="D11" s="14">
        <f xml:space="preserve"> 20 -TBL_VP[[#This Row],[Winner VP]]</f>
        <v>8.66</v>
      </c>
    </row>
    <row r="12" spans="2:8" x14ac:dyDescent="0.3">
      <c r="B12" s="2">
        <v>6</v>
      </c>
      <c r="C12" s="14">
        <v>11.59</v>
      </c>
      <c r="D12" s="14">
        <f xml:space="preserve"> 20 -TBL_VP[[#This Row],[Winner VP]]</f>
        <v>8.41</v>
      </c>
    </row>
    <row r="13" spans="2:8" x14ac:dyDescent="0.3">
      <c r="B13" s="2">
        <v>7</v>
      </c>
      <c r="C13" s="14">
        <v>11.83</v>
      </c>
      <c r="D13" s="14">
        <f xml:space="preserve"> 20 -TBL_VP[[#This Row],[Winner VP]]</f>
        <v>8.17</v>
      </c>
    </row>
    <row r="14" spans="2:8" x14ac:dyDescent="0.3">
      <c r="B14" s="2">
        <v>8</v>
      </c>
      <c r="C14" s="14">
        <v>12.07</v>
      </c>
      <c r="D14" s="14">
        <f xml:space="preserve"> 20 -TBL_VP[[#This Row],[Winner VP]]</f>
        <v>7.93</v>
      </c>
    </row>
    <row r="15" spans="2:8" x14ac:dyDescent="0.3">
      <c r="B15" s="2">
        <v>9</v>
      </c>
      <c r="C15" s="14">
        <v>12.3</v>
      </c>
      <c r="D15" s="14">
        <f xml:space="preserve"> 20 -TBL_VP[[#This Row],[Winner VP]]</f>
        <v>7.6999999999999993</v>
      </c>
    </row>
    <row r="16" spans="2:8" x14ac:dyDescent="0.3">
      <c r="B16" s="22">
        <v>10</v>
      </c>
      <c r="C16" s="14">
        <v>12.53</v>
      </c>
      <c r="D16" s="14">
        <f xml:space="preserve"> 20 -TBL_VP[[#This Row],[Winner VP]]</f>
        <v>7.4700000000000006</v>
      </c>
    </row>
    <row r="17" spans="2:4" x14ac:dyDescent="0.3">
      <c r="B17" s="2">
        <v>11</v>
      </c>
      <c r="C17" s="14">
        <v>12.76</v>
      </c>
      <c r="D17" s="14">
        <f xml:space="preserve"> 20 -TBL_VP[[#This Row],[Winner VP]]</f>
        <v>7.24</v>
      </c>
    </row>
    <row r="18" spans="2:4" x14ac:dyDescent="0.3">
      <c r="B18" s="2">
        <v>12</v>
      </c>
      <c r="C18" s="14">
        <v>12.98</v>
      </c>
      <c r="D18" s="14">
        <f xml:space="preserve"> 20 -TBL_VP[[#This Row],[Winner VP]]</f>
        <v>7.02</v>
      </c>
    </row>
    <row r="19" spans="2:4" x14ac:dyDescent="0.3">
      <c r="B19" s="2">
        <v>13</v>
      </c>
      <c r="C19" s="14">
        <v>13.2</v>
      </c>
      <c r="D19" s="14">
        <f xml:space="preserve"> 20 -TBL_VP[[#This Row],[Winner VP]]</f>
        <v>6.8000000000000007</v>
      </c>
    </row>
    <row r="20" spans="2:4" x14ac:dyDescent="0.3">
      <c r="B20" s="2">
        <v>14</v>
      </c>
      <c r="C20" s="14">
        <v>13.41</v>
      </c>
      <c r="D20" s="14">
        <f xml:space="preserve"> 20 -TBL_VP[[#This Row],[Winner VP]]</f>
        <v>6.59</v>
      </c>
    </row>
    <row r="21" spans="2:4" x14ac:dyDescent="0.3">
      <c r="B21" s="2">
        <v>15</v>
      </c>
      <c r="C21" s="14">
        <v>13.61</v>
      </c>
      <c r="D21" s="14">
        <f xml:space="preserve"> 20 -TBL_VP[[#This Row],[Winner VP]]</f>
        <v>6.3900000000000006</v>
      </c>
    </row>
    <row r="22" spans="2:4" x14ac:dyDescent="0.3">
      <c r="B22" s="2">
        <v>16</v>
      </c>
      <c r="C22" s="14">
        <v>13.81</v>
      </c>
      <c r="D22" s="14">
        <f xml:space="preserve"> 20 -TBL_VP[[#This Row],[Winner VP]]</f>
        <v>6.1899999999999995</v>
      </c>
    </row>
    <row r="23" spans="2:4" x14ac:dyDescent="0.3">
      <c r="B23" s="2">
        <v>17</v>
      </c>
      <c r="C23" s="14">
        <v>14.01</v>
      </c>
      <c r="D23" s="14">
        <f xml:space="preserve"> 20 -TBL_VP[[#This Row],[Winner VP]]</f>
        <v>5.99</v>
      </c>
    </row>
    <row r="24" spans="2:4" x14ac:dyDescent="0.3">
      <c r="B24" s="2">
        <v>18</v>
      </c>
      <c r="C24" s="14">
        <v>14.2</v>
      </c>
      <c r="D24" s="14">
        <f xml:space="preserve"> 20 -TBL_VP[[#This Row],[Winner VP]]</f>
        <v>5.8000000000000007</v>
      </c>
    </row>
    <row r="25" spans="2:4" x14ac:dyDescent="0.3">
      <c r="B25" s="2">
        <v>19</v>
      </c>
      <c r="C25" s="14">
        <v>14.39</v>
      </c>
      <c r="D25" s="14">
        <f xml:space="preserve"> 20 -TBL_VP[[#This Row],[Winner VP]]</f>
        <v>5.6099999999999994</v>
      </c>
    </row>
    <row r="26" spans="2:4" x14ac:dyDescent="0.3">
      <c r="B26" s="22">
        <v>20</v>
      </c>
      <c r="C26" s="14">
        <v>14.58</v>
      </c>
      <c r="D26" s="14">
        <f xml:space="preserve"> 20 -TBL_VP[[#This Row],[Winner VP]]</f>
        <v>5.42</v>
      </c>
    </row>
    <row r="27" spans="2:4" x14ac:dyDescent="0.3">
      <c r="B27" s="2">
        <v>21</v>
      </c>
      <c r="C27" s="14">
        <v>14.76</v>
      </c>
      <c r="D27" s="14">
        <f xml:space="preserve"> 20 -TBL_VP[[#This Row],[Winner VP]]</f>
        <v>5.24</v>
      </c>
    </row>
    <row r="28" spans="2:4" x14ac:dyDescent="0.3">
      <c r="B28" s="2">
        <v>22</v>
      </c>
      <c r="C28" s="14">
        <v>14.94</v>
      </c>
      <c r="D28" s="14">
        <f xml:space="preserve"> 20 -TBL_VP[[#This Row],[Winner VP]]</f>
        <v>5.0600000000000005</v>
      </c>
    </row>
    <row r="29" spans="2:4" x14ac:dyDescent="0.3">
      <c r="B29" s="2">
        <v>23</v>
      </c>
      <c r="C29" s="14">
        <v>15.11</v>
      </c>
      <c r="D29" s="14">
        <f xml:space="preserve"> 20 -TBL_VP[[#This Row],[Winner VP]]</f>
        <v>4.8900000000000006</v>
      </c>
    </row>
    <row r="30" spans="2:4" x14ac:dyDescent="0.3">
      <c r="B30" s="2">
        <v>24</v>
      </c>
      <c r="C30" s="14">
        <v>15.28</v>
      </c>
      <c r="D30" s="14">
        <f xml:space="preserve"> 20 -TBL_VP[[#This Row],[Winner VP]]</f>
        <v>4.7200000000000006</v>
      </c>
    </row>
    <row r="31" spans="2:4" x14ac:dyDescent="0.3">
      <c r="B31" s="2">
        <v>25</v>
      </c>
      <c r="C31" s="14">
        <v>15.45</v>
      </c>
      <c r="D31" s="14">
        <f xml:space="preserve"> 20 -TBL_VP[[#This Row],[Winner VP]]</f>
        <v>4.5500000000000007</v>
      </c>
    </row>
    <row r="32" spans="2:4" x14ac:dyDescent="0.3">
      <c r="B32" s="2">
        <v>26</v>
      </c>
      <c r="C32" s="14">
        <v>15.61</v>
      </c>
      <c r="D32" s="14">
        <f xml:space="preserve"> 20 -TBL_VP[[#This Row],[Winner VP]]</f>
        <v>4.3900000000000006</v>
      </c>
    </row>
    <row r="33" spans="2:4" x14ac:dyDescent="0.3">
      <c r="B33" s="2">
        <v>27</v>
      </c>
      <c r="C33" s="14">
        <v>15.77</v>
      </c>
      <c r="D33" s="14">
        <f xml:space="preserve"> 20 -TBL_VP[[#This Row],[Winner VP]]</f>
        <v>4.2300000000000004</v>
      </c>
    </row>
    <row r="34" spans="2:4" x14ac:dyDescent="0.3">
      <c r="B34" s="2">
        <v>28</v>
      </c>
      <c r="C34" s="14">
        <v>15.93</v>
      </c>
      <c r="D34" s="14">
        <f xml:space="preserve"> 20 -TBL_VP[[#This Row],[Winner VP]]</f>
        <v>4.07</v>
      </c>
    </row>
    <row r="35" spans="2:4" x14ac:dyDescent="0.3">
      <c r="B35" s="2">
        <v>29</v>
      </c>
      <c r="C35" s="14">
        <v>16.079999999999998</v>
      </c>
      <c r="D35" s="14">
        <f xml:space="preserve"> 20 -TBL_VP[[#This Row],[Winner VP]]</f>
        <v>3.9200000000000017</v>
      </c>
    </row>
    <row r="36" spans="2:4" x14ac:dyDescent="0.3">
      <c r="B36" s="22">
        <v>30</v>
      </c>
      <c r="C36" s="14">
        <v>16.23</v>
      </c>
      <c r="D36" s="14">
        <f xml:space="preserve"> 20 -TBL_VP[[#This Row],[Winner VP]]</f>
        <v>3.7699999999999996</v>
      </c>
    </row>
    <row r="37" spans="2:4" x14ac:dyDescent="0.3">
      <c r="B37" s="2">
        <v>31</v>
      </c>
      <c r="C37" s="14">
        <v>16.38</v>
      </c>
      <c r="D37" s="14">
        <f xml:space="preserve"> 20 -TBL_VP[[#This Row],[Winner VP]]</f>
        <v>3.620000000000001</v>
      </c>
    </row>
    <row r="38" spans="2:4" x14ac:dyDescent="0.3">
      <c r="B38" s="2">
        <v>32</v>
      </c>
      <c r="C38" s="14">
        <v>16.52</v>
      </c>
      <c r="D38" s="14">
        <f xml:space="preserve"> 20 -TBL_VP[[#This Row],[Winner VP]]</f>
        <v>3.4800000000000004</v>
      </c>
    </row>
    <row r="39" spans="2:4" x14ac:dyDescent="0.3">
      <c r="B39" s="2">
        <v>33</v>
      </c>
      <c r="C39" s="14">
        <v>16.66</v>
      </c>
      <c r="D39" s="14">
        <f xml:space="preserve"> 20 -TBL_VP[[#This Row],[Winner VP]]</f>
        <v>3.34</v>
      </c>
    </row>
    <row r="40" spans="2:4" x14ac:dyDescent="0.3">
      <c r="B40" s="2">
        <v>34</v>
      </c>
      <c r="C40" s="14">
        <v>16.8</v>
      </c>
      <c r="D40" s="14">
        <f xml:space="preserve"> 20 -TBL_VP[[#This Row],[Winner VP]]</f>
        <v>3.1999999999999993</v>
      </c>
    </row>
    <row r="41" spans="2:4" x14ac:dyDescent="0.3">
      <c r="B41" s="2">
        <v>35</v>
      </c>
      <c r="C41" s="14">
        <v>16.93</v>
      </c>
      <c r="D41" s="14">
        <f xml:space="preserve"> 20 -TBL_VP[[#This Row],[Winner VP]]</f>
        <v>3.0700000000000003</v>
      </c>
    </row>
    <row r="42" spans="2:4" x14ac:dyDescent="0.3">
      <c r="B42" s="2">
        <v>36</v>
      </c>
      <c r="C42" s="14">
        <v>17.059999999999999</v>
      </c>
      <c r="D42" s="14">
        <f xml:space="preserve"> 20 -TBL_VP[[#This Row],[Winner VP]]</f>
        <v>2.9400000000000013</v>
      </c>
    </row>
    <row r="43" spans="2:4" x14ac:dyDescent="0.3">
      <c r="B43" s="2">
        <v>37</v>
      </c>
      <c r="C43" s="14">
        <v>17.190000000000001</v>
      </c>
      <c r="D43" s="14">
        <f xml:space="preserve"> 20 -TBL_VP[[#This Row],[Winner VP]]</f>
        <v>2.8099999999999987</v>
      </c>
    </row>
    <row r="44" spans="2:4" x14ac:dyDescent="0.3">
      <c r="B44" s="2">
        <v>38</v>
      </c>
      <c r="C44" s="14">
        <v>17.32</v>
      </c>
      <c r="D44" s="14">
        <f xml:space="preserve"> 20 -TBL_VP[[#This Row],[Winner VP]]</f>
        <v>2.6799999999999997</v>
      </c>
    </row>
    <row r="45" spans="2:4" x14ac:dyDescent="0.3">
      <c r="B45" s="2">
        <v>39</v>
      </c>
      <c r="C45" s="14">
        <v>17.440000000000001</v>
      </c>
      <c r="D45" s="14">
        <f xml:space="preserve"> 20 -TBL_VP[[#This Row],[Winner VP]]</f>
        <v>2.5599999999999987</v>
      </c>
    </row>
    <row r="46" spans="2:4" x14ac:dyDescent="0.3">
      <c r="B46" s="22">
        <v>40</v>
      </c>
      <c r="C46" s="14">
        <v>17.559999999999999</v>
      </c>
      <c r="D46" s="14">
        <f xml:space="preserve"> 20 -TBL_VP[[#This Row],[Winner VP]]</f>
        <v>2.4400000000000013</v>
      </c>
    </row>
    <row r="47" spans="2:4" x14ac:dyDescent="0.3">
      <c r="B47" s="2">
        <v>41</v>
      </c>
      <c r="C47" s="14">
        <v>17.68</v>
      </c>
      <c r="D47" s="14">
        <f xml:space="preserve"> 20 -TBL_VP[[#This Row],[Winner VP]]</f>
        <v>2.3200000000000003</v>
      </c>
    </row>
    <row r="48" spans="2:4" x14ac:dyDescent="0.3">
      <c r="B48" s="2">
        <v>42</v>
      </c>
      <c r="C48" s="14">
        <v>17.79</v>
      </c>
      <c r="D48" s="14">
        <f xml:space="preserve"> 20 -TBL_VP[[#This Row],[Winner VP]]</f>
        <v>2.2100000000000009</v>
      </c>
    </row>
    <row r="49" spans="2:4" x14ac:dyDescent="0.3">
      <c r="B49" s="2">
        <v>43</v>
      </c>
      <c r="C49" s="14">
        <v>17.899999999999999</v>
      </c>
      <c r="D49" s="14">
        <f xml:space="preserve"> 20 -TBL_VP[[#This Row],[Winner VP]]</f>
        <v>2.1000000000000014</v>
      </c>
    </row>
    <row r="50" spans="2:4" x14ac:dyDescent="0.3">
      <c r="B50" s="2">
        <v>44</v>
      </c>
      <c r="C50" s="14">
        <v>18.010000000000002</v>
      </c>
      <c r="D50" s="14">
        <f xml:space="preserve"> 20 -TBL_VP[[#This Row],[Winner VP]]</f>
        <v>1.9899999999999984</v>
      </c>
    </row>
    <row r="51" spans="2:4" x14ac:dyDescent="0.3">
      <c r="B51" s="2">
        <v>45</v>
      </c>
      <c r="C51" s="14">
        <v>18.12</v>
      </c>
      <c r="D51" s="14">
        <f xml:space="preserve"> 20 -TBL_VP[[#This Row],[Winner VP]]</f>
        <v>1.879999999999999</v>
      </c>
    </row>
    <row r="52" spans="2:4" x14ac:dyDescent="0.3">
      <c r="B52" s="2">
        <v>46</v>
      </c>
      <c r="C52" s="14">
        <v>18.23</v>
      </c>
      <c r="D52" s="14">
        <f xml:space="preserve"> 20 -TBL_VP[[#This Row],[Winner VP]]</f>
        <v>1.7699999999999996</v>
      </c>
    </row>
    <row r="53" spans="2:4" x14ac:dyDescent="0.3">
      <c r="B53" s="2">
        <v>47</v>
      </c>
      <c r="C53" s="14">
        <v>18.329999999999998</v>
      </c>
      <c r="D53" s="14">
        <f xml:space="preserve"> 20 -TBL_VP[[#This Row],[Winner VP]]</f>
        <v>1.6700000000000017</v>
      </c>
    </row>
    <row r="54" spans="2:4" x14ac:dyDescent="0.3">
      <c r="B54" s="2">
        <v>48</v>
      </c>
      <c r="C54" s="14">
        <v>18.43</v>
      </c>
      <c r="D54" s="14">
        <f xml:space="preserve"> 20 -TBL_VP[[#This Row],[Winner VP]]</f>
        <v>1.5700000000000003</v>
      </c>
    </row>
    <row r="55" spans="2:4" x14ac:dyDescent="0.3">
      <c r="B55" s="2">
        <v>49</v>
      </c>
      <c r="C55" s="14">
        <v>18.53</v>
      </c>
      <c r="D55" s="14">
        <f xml:space="preserve"> 20 -TBL_VP[[#This Row],[Winner VP]]</f>
        <v>1.4699999999999989</v>
      </c>
    </row>
    <row r="56" spans="2:4" x14ac:dyDescent="0.3">
      <c r="B56" s="22">
        <v>50</v>
      </c>
      <c r="C56" s="14">
        <v>18.63</v>
      </c>
      <c r="D56" s="14">
        <f xml:space="preserve"> 20 -TBL_VP[[#This Row],[Winner VP]]</f>
        <v>1.370000000000001</v>
      </c>
    </row>
    <row r="57" spans="2:4" x14ac:dyDescent="0.3">
      <c r="B57" s="2">
        <v>51</v>
      </c>
      <c r="C57" s="14">
        <v>18.73</v>
      </c>
      <c r="D57" s="14">
        <f xml:space="preserve"> 20 -TBL_VP[[#This Row],[Winner VP]]</f>
        <v>1.2699999999999996</v>
      </c>
    </row>
    <row r="58" spans="2:4" x14ac:dyDescent="0.3">
      <c r="B58" s="2">
        <v>52</v>
      </c>
      <c r="C58" s="14">
        <v>18.82</v>
      </c>
      <c r="D58" s="14">
        <f xml:space="preserve"> 20 -TBL_VP[[#This Row],[Winner VP]]</f>
        <v>1.1799999999999997</v>
      </c>
    </row>
    <row r="59" spans="2:4" x14ac:dyDescent="0.3">
      <c r="B59" s="2">
        <v>53</v>
      </c>
      <c r="C59" s="14">
        <v>18.91</v>
      </c>
      <c r="D59" s="14">
        <f xml:space="preserve"> 20 -TBL_VP[[#This Row],[Winner VP]]</f>
        <v>1.0899999999999999</v>
      </c>
    </row>
    <row r="60" spans="2:4" x14ac:dyDescent="0.3">
      <c r="B60" s="2">
        <v>54</v>
      </c>
      <c r="C60" s="14">
        <v>19</v>
      </c>
      <c r="D60" s="14">
        <f xml:space="preserve"> 20 -TBL_VP[[#This Row],[Winner VP]]</f>
        <v>1</v>
      </c>
    </row>
    <row r="61" spans="2:4" x14ac:dyDescent="0.3">
      <c r="B61" s="2">
        <v>55</v>
      </c>
      <c r="C61" s="14">
        <v>19.09</v>
      </c>
      <c r="D61" s="14">
        <f xml:space="preserve"> 20 -TBL_VP[[#This Row],[Winner VP]]</f>
        <v>0.91000000000000014</v>
      </c>
    </row>
    <row r="62" spans="2:4" x14ac:dyDescent="0.3">
      <c r="B62" s="2">
        <v>56</v>
      </c>
      <c r="C62" s="14">
        <v>19.170000000000002</v>
      </c>
      <c r="D62" s="14">
        <f xml:space="preserve"> 20 -TBL_VP[[#This Row],[Winner VP]]</f>
        <v>0.82999999999999829</v>
      </c>
    </row>
    <row r="63" spans="2:4" x14ac:dyDescent="0.3">
      <c r="B63" s="2">
        <v>57</v>
      </c>
      <c r="C63" s="14">
        <v>19.25</v>
      </c>
      <c r="D63" s="14">
        <f xml:space="preserve"> 20 -TBL_VP[[#This Row],[Winner VP]]</f>
        <v>0.75</v>
      </c>
    </row>
    <row r="64" spans="2:4" x14ac:dyDescent="0.3">
      <c r="B64" s="2">
        <v>58</v>
      </c>
      <c r="C64" s="14">
        <v>19.329999999999998</v>
      </c>
      <c r="D64" s="14">
        <f xml:space="preserve"> 20 -TBL_VP[[#This Row],[Winner VP]]</f>
        <v>0.67000000000000171</v>
      </c>
    </row>
    <row r="65" spans="2:4" x14ac:dyDescent="0.3">
      <c r="B65" s="2">
        <v>59</v>
      </c>
      <c r="C65" s="14">
        <v>19.41</v>
      </c>
      <c r="D65" s="14">
        <f xml:space="preserve"> 20 -TBL_VP[[#This Row],[Winner VP]]</f>
        <v>0.58999999999999986</v>
      </c>
    </row>
    <row r="66" spans="2:4" x14ac:dyDescent="0.3">
      <c r="B66" s="22">
        <v>60</v>
      </c>
      <c r="C66" s="14">
        <v>19.489999999999998</v>
      </c>
      <c r="D66" s="14">
        <f xml:space="preserve"> 20 -TBL_VP[[#This Row],[Winner VP]]</f>
        <v>0.51000000000000156</v>
      </c>
    </row>
    <row r="67" spans="2:4" x14ac:dyDescent="0.3">
      <c r="B67" s="2">
        <v>61</v>
      </c>
      <c r="C67" s="14">
        <v>19.57</v>
      </c>
      <c r="D67" s="14">
        <f xml:space="preserve"> 20 -TBL_VP[[#This Row],[Winner VP]]</f>
        <v>0.42999999999999972</v>
      </c>
    </row>
    <row r="68" spans="2:4" x14ac:dyDescent="0.3">
      <c r="B68" s="2">
        <v>62</v>
      </c>
      <c r="C68" s="14">
        <v>19.649999999999999</v>
      </c>
      <c r="D68" s="14">
        <f xml:space="preserve"> 20 -TBL_VP[[#This Row],[Winner VP]]</f>
        <v>0.35000000000000142</v>
      </c>
    </row>
    <row r="69" spans="2:4" x14ac:dyDescent="0.3">
      <c r="B69" s="2">
        <v>63</v>
      </c>
      <c r="C69" s="14">
        <v>19.72</v>
      </c>
      <c r="D69" s="14">
        <f xml:space="preserve"> 20 -TBL_VP[[#This Row],[Winner VP]]</f>
        <v>0.28000000000000114</v>
      </c>
    </row>
    <row r="70" spans="2:4" x14ac:dyDescent="0.3">
      <c r="B70" s="2">
        <v>64</v>
      </c>
      <c r="C70" s="14">
        <v>19.79</v>
      </c>
      <c r="D70" s="14">
        <f xml:space="preserve"> 20 -TBL_VP[[#This Row],[Winner VP]]</f>
        <v>0.21000000000000085</v>
      </c>
    </row>
    <row r="71" spans="2:4" x14ac:dyDescent="0.3">
      <c r="B71" s="2">
        <v>65</v>
      </c>
      <c r="C71" s="14">
        <v>19.86</v>
      </c>
      <c r="D71" s="14">
        <f xml:space="preserve"> 20 -TBL_VP[[#This Row],[Winner VP]]</f>
        <v>0.14000000000000057</v>
      </c>
    </row>
    <row r="72" spans="2:4" x14ac:dyDescent="0.3">
      <c r="B72" s="2">
        <v>66</v>
      </c>
      <c r="C72" s="14">
        <v>19.93</v>
      </c>
      <c r="D72" s="14">
        <f xml:space="preserve"> 20 -TBL_VP[[#This Row],[Winner VP]]</f>
        <v>7.0000000000000284E-2</v>
      </c>
    </row>
    <row r="73" spans="2:4" x14ac:dyDescent="0.3">
      <c r="B73" s="2">
        <v>67</v>
      </c>
      <c r="C73" s="14">
        <v>19.989999999999998</v>
      </c>
      <c r="D73" s="14">
        <f xml:space="preserve"> 20 -TBL_VP[[#This Row],[Winner VP]]</f>
        <v>1.0000000000001563E-2</v>
      </c>
    </row>
    <row r="74" spans="2:4" x14ac:dyDescent="0.3">
      <c r="B74" s="20">
        <v>68</v>
      </c>
      <c r="C74" s="21">
        <v>20</v>
      </c>
      <c r="D74" s="21">
        <v>0</v>
      </c>
    </row>
    <row r="75" spans="2:4" x14ac:dyDescent="0.3">
      <c r="B75" s="2">
        <v>69</v>
      </c>
      <c r="C75" s="14">
        <v>20</v>
      </c>
      <c r="D75" s="14">
        <v>0</v>
      </c>
    </row>
    <row r="76" spans="2:4" x14ac:dyDescent="0.3">
      <c r="B76" s="2">
        <v>70</v>
      </c>
      <c r="C76" s="14">
        <v>20</v>
      </c>
      <c r="D76" s="14">
        <v>0</v>
      </c>
    </row>
    <row r="77" spans="2:4" x14ac:dyDescent="0.3">
      <c r="B77" s="2">
        <v>71</v>
      </c>
      <c r="C77" s="14">
        <v>20</v>
      </c>
      <c r="D77" s="14">
        <v>0</v>
      </c>
    </row>
    <row r="78" spans="2:4" x14ac:dyDescent="0.3">
      <c r="B78" s="2">
        <v>72</v>
      </c>
      <c r="C78" s="14">
        <v>20</v>
      </c>
      <c r="D78" s="14">
        <v>0</v>
      </c>
    </row>
    <row r="79" spans="2:4" x14ac:dyDescent="0.3">
      <c r="B79" s="2">
        <v>73</v>
      </c>
      <c r="C79" s="14">
        <v>20</v>
      </c>
      <c r="D79" s="14">
        <v>0</v>
      </c>
    </row>
    <row r="80" spans="2:4" x14ac:dyDescent="0.3">
      <c r="B80" s="2">
        <v>74</v>
      </c>
      <c r="C80" s="14">
        <v>20</v>
      </c>
      <c r="D80" s="14">
        <v>0</v>
      </c>
    </row>
    <row r="81" spans="2:4" x14ac:dyDescent="0.3">
      <c r="B81" s="2">
        <v>75</v>
      </c>
      <c r="C81" s="14">
        <v>20</v>
      </c>
      <c r="D81" s="14">
        <v>0</v>
      </c>
    </row>
    <row r="82" spans="2:4" x14ac:dyDescent="0.3">
      <c r="B82" s="2">
        <v>76</v>
      </c>
      <c r="C82" s="14">
        <v>20</v>
      </c>
      <c r="D82" s="14">
        <v>0</v>
      </c>
    </row>
    <row r="83" spans="2:4" x14ac:dyDescent="0.3">
      <c r="B83" s="2">
        <v>77</v>
      </c>
      <c r="C83" s="14">
        <v>20</v>
      </c>
      <c r="D83" s="14">
        <v>0</v>
      </c>
    </row>
    <row r="84" spans="2:4" x14ac:dyDescent="0.3">
      <c r="B84" s="2">
        <v>78</v>
      </c>
      <c r="C84" s="14">
        <v>20</v>
      </c>
      <c r="D84" s="14">
        <v>0</v>
      </c>
    </row>
    <row r="85" spans="2:4" x14ac:dyDescent="0.3">
      <c r="B85" s="2">
        <v>79</v>
      </c>
      <c r="C85" s="14">
        <v>20</v>
      </c>
      <c r="D85" s="14">
        <v>0</v>
      </c>
    </row>
    <row r="86" spans="2:4" x14ac:dyDescent="0.3">
      <c r="B86" s="2">
        <v>80</v>
      </c>
      <c r="C86" s="14">
        <v>20</v>
      </c>
      <c r="D86" s="14">
        <v>0</v>
      </c>
    </row>
    <row r="87" spans="2:4" x14ac:dyDescent="0.3">
      <c r="B87" s="2">
        <v>81</v>
      </c>
      <c r="C87" s="14">
        <v>20</v>
      </c>
      <c r="D87" s="14">
        <v>0</v>
      </c>
    </row>
    <row r="88" spans="2:4" x14ac:dyDescent="0.3">
      <c r="B88" s="2">
        <v>82</v>
      </c>
      <c r="C88" s="14">
        <v>20</v>
      </c>
      <c r="D88" s="14">
        <v>0</v>
      </c>
    </row>
    <row r="89" spans="2:4" x14ac:dyDescent="0.3">
      <c r="B89" s="2">
        <v>83</v>
      </c>
      <c r="C89" s="14">
        <v>20</v>
      </c>
      <c r="D89" s="14">
        <v>0</v>
      </c>
    </row>
    <row r="90" spans="2:4" x14ac:dyDescent="0.3">
      <c r="B90" s="2">
        <v>84</v>
      </c>
      <c r="C90" s="14">
        <v>20</v>
      </c>
      <c r="D90" s="14">
        <v>0</v>
      </c>
    </row>
    <row r="91" spans="2:4" x14ac:dyDescent="0.3">
      <c r="B91" s="2">
        <v>85</v>
      </c>
      <c r="C91" s="14">
        <v>20</v>
      </c>
      <c r="D91" s="14">
        <v>0</v>
      </c>
    </row>
    <row r="92" spans="2:4" x14ac:dyDescent="0.3">
      <c r="B92" s="2">
        <v>86</v>
      </c>
      <c r="C92" s="14">
        <v>20</v>
      </c>
      <c r="D92" s="14">
        <v>0</v>
      </c>
    </row>
    <row r="93" spans="2:4" x14ac:dyDescent="0.3">
      <c r="B93" s="2">
        <v>87</v>
      </c>
      <c r="C93" s="14">
        <v>20</v>
      </c>
      <c r="D93" s="14">
        <v>0</v>
      </c>
    </row>
    <row r="94" spans="2:4" x14ac:dyDescent="0.3">
      <c r="B94" s="2">
        <v>88</v>
      </c>
      <c r="C94" s="14">
        <v>20</v>
      </c>
      <c r="D94" s="14">
        <v>0</v>
      </c>
    </row>
    <row r="95" spans="2:4" x14ac:dyDescent="0.3">
      <c r="B95" s="2">
        <v>89</v>
      </c>
      <c r="C95" s="14">
        <v>20</v>
      </c>
      <c r="D95" s="14">
        <v>0</v>
      </c>
    </row>
    <row r="96" spans="2:4" x14ac:dyDescent="0.3">
      <c r="B96" s="2">
        <v>90</v>
      </c>
      <c r="C96" s="14">
        <v>20</v>
      </c>
      <c r="D96" s="14">
        <v>0</v>
      </c>
    </row>
    <row r="97" spans="2:4" x14ac:dyDescent="0.3">
      <c r="B97" s="2">
        <v>91</v>
      </c>
      <c r="C97" s="14">
        <v>20</v>
      </c>
      <c r="D97" s="14">
        <v>0</v>
      </c>
    </row>
    <row r="98" spans="2:4" x14ac:dyDescent="0.3">
      <c r="B98" s="2">
        <v>92</v>
      </c>
      <c r="C98" s="14">
        <v>20</v>
      </c>
      <c r="D98" s="14">
        <v>0</v>
      </c>
    </row>
    <row r="99" spans="2:4" x14ac:dyDescent="0.3">
      <c r="B99" s="2">
        <v>93</v>
      </c>
      <c r="C99" s="14">
        <v>20</v>
      </c>
      <c r="D99" s="14">
        <v>0</v>
      </c>
    </row>
    <row r="100" spans="2:4" x14ac:dyDescent="0.3">
      <c r="B100" s="2">
        <v>94</v>
      </c>
      <c r="C100" s="14">
        <v>20</v>
      </c>
      <c r="D100" s="14">
        <v>0</v>
      </c>
    </row>
    <row r="101" spans="2:4" x14ac:dyDescent="0.3">
      <c r="B101" s="2">
        <v>95</v>
      </c>
      <c r="C101" s="14">
        <v>20</v>
      </c>
      <c r="D101" s="14">
        <v>0</v>
      </c>
    </row>
    <row r="102" spans="2:4" x14ac:dyDescent="0.3">
      <c r="B102" s="2">
        <v>96</v>
      </c>
      <c r="C102" s="14">
        <v>20</v>
      </c>
      <c r="D102" s="14">
        <v>0</v>
      </c>
    </row>
    <row r="103" spans="2:4" x14ac:dyDescent="0.3">
      <c r="B103" s="2">
        <v>97</v>
      </c>
      <c r="C103" s="14">
        <v>20</v>
      </c>
      <c r="D103" s="14">
        <v>0</v>
      </c>
    </row>
    <row r="104" spans="2:4" x14ac:dyDescent="0.3">
      <c r="B104" s="2">
        <v>98</v>
      </c>
      <c r="C104" s="14">
        <v>20</v>
      </c>
      <c r="D104" s="14">
        <v>0</v>
      </c>
    </row>
    <row r="105" spans="2:4" x14ac:dyDescent="0.3">
      <c r="B105" s="2">
        <v>99</v>
      </c>
      <c r="C105" s="14">
        <v>20</v>
      </c>
      <c r="D105" s="14">
        <v>0</v>
      </c>
    </row>
    <row r="106" spans="2:4" x14ac:dyDescent="0.3">
      <c r="B106" s="2">
        <v>100</v>
      </c>
      <c r="C106" s="14">
        <v>20</v>
      </c>
      <c r="D106" s="14">
        <v>0</v>
      </c>
    </row>
  </sheetData>
  <mergeCells count="2">
    <mergeCell ref="B2:D2"/>
    <mergeCell ref="B3:H3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D7500-6683-47E6-BB3A-28A6539C80E2}">
  <dimension ref="B3:K26"/>
  <sheetViews>
    <sheetView workbookViewId="0">
      <selection activeCell="B4" sqref="B4"/>
    </sheetView>
  </sheetViews>
  <sheetFormatPr defaultColWidth="9.33203125" defaultRowHeight="14.4" x14ac:dyDescent="0.3"/>
  <cols>
    <col min="2" max="2" width="4.88671875" bestFit="1" customWidth="1"/>
    <col min="3" max="3" width="31.6640625" customWidth="1"/>
    <col min="4" max="4" width="2.88671875" bestFit="1" customWidth="1"/>
    <col min="5" max="5" width="31.664062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9" customFormat="1" ht="15.6" x14ac:dyDescent="0.3">
      <c r="B3" s="8" t="s">
        <v>702</v>
      </c>
      <c r="C3" s="8" t="s">
        <v>704</v>
      </c>
      <c r="D3" s="8" t="s">
        <v>5</v>
      </c>
      <c r="E3" s="8" t="s">
        <v>705</v>
      </c>
      <c r="F3" s="8" t="s">
        <v>703</v>
      </c>
      <c r="G3" s="24" t="s">
        <v>0</v>
      </c>
      <c r="H3" s="25" t="s">
        <v>1</v>
      </c>
      <c r="I3" s="61" t="s">
        <v>4</v>
      </c>
      <c r="J3" s="58" t="s">
        <v>2</v>
      </c>
      <c r="K3" s="58" t="s">
        <v>3</v>
      </c>
    </row>
    <row r="4" spans="2:11" x14ac:dyDescent="0.3">
      <c r="B4" s="70">
        <v>7</v>
      </c>
      <c r="C4" s="2" t="str">
        <f>VLOOKUP(TBL_S2[[#This Row],[Nr 1]],TBL_Team[],2,FALSE)</f>
        <v>Riviera 9</v>
      </c>
      <c r="D4" s="2" t="s">
        <v>6</v>
      </c>
      <c r="E4" s="2" t="str">
        <f>VLOOKUP(TBL_S2[[#This Row],[Nr 2]],TBL_Team[],2,FALSE)</f>
        <v>KATMOTTEPASSE</v>
      </c>
      <c r="F4" s="70">
        <v>10</v>
      </c>
      <c r="G4" s="27">
        <v>59</v>
      </c>
      <c r="H4" s="28">
        <v>32</v>
      </c>
      <c r="I4" s="62">
        <f xml:space="preserve"> ABS(TBL_S2[[#This Row],[IMP 2]]-TBL_S2[[#This Row],[IMP 1]])</f>
        <v>27</v>
      </c>
      <c r="J4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15.77</v>
      </c>
      <c r="K4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4.2300000000000004</v>
      </c>
    </row>
    <row r="5" spans="2:11" x14ac:dyDescent="0.3">
      <c r="B5" s="70">
        <v>39</v>
      </c>
      <c r="C5" s="2" t="str">
        <f>VLOOKUP(TBL_S2[[#This Row],[Nr 1]],TBL_Team[],2,FALSE)</f>
        <v>De witte beren</v>
      </c>
      <c r="D5" s="2" t="s">
        <v>6</v>
      </c>
      <c r="E5" s="2" t="str">
        <f>VLOOKUP(TBL_S2[[#This Row],[Nr 2]],TBL_Team[],2,FALSE)</f>
        <v>Essense 2</v>
      </c>
      <c r="F5" s="70">
        <v>28</v>
      </c>
      <c r="G5" s="27">
        <v>33</v>
      </c>
      <c r="H5" s="28">
        <v>81</v>
      </c>
      <c r="I5" s="62">
        <f xml:space="preserve"> ABS(TBL_S2[[#This Row],[IMP 2]]-TBL_S2[[#This Row],[IMP 1]])</f>
        <v>48</v>
      </c>
      <c r="J5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1.5700000000000003</v>
      </c>
      <c r="K5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18.43</v>
      </c>
    </row>
    <row r="6" spans="2:11" x14ac:dyDescent="0.3">
      <c r="B6" s="70">
        <v>25</v>
      </c>
      <c r="C6" s="2" t="str">
        <f>VLOOKUP(TBL_S2[[#This Row],[Nr 1]],TBL_Team[],2,FALSE)</f>
        <v>Bree</v>
      </c>
      <c r="D6" s="2" t="s">
        <v>6</v>
      </c>
      <c r="E6" s="2" t="str">
        <f>VLOOKUP(TBL_S2[[#This Row],[Nr 2]],TBL_Team[],2,FALSE)</f>
        <v>De plankierkaarters</v>
      </c>
      <c r="F6" s="70">
        <v>4</v>
      </c>
      <c r="G6" s="27">
        <v>9</v>
      </c>
      <c r="H6" s="28">
        <v>73</v>
      </c>
      <c r="I6" s="62">
        <f xml:space="preserve"> ABS(TBL_S2[[#This Row],[IMP 2]]-TBL_S2[[#This Row],[IMP 1]])</f>
        <v>64</v>
      </c>
      <c r="J6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0.21000000000000085</v>
      </c>
      <c r="K6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19.79</v>
      </c>
    </row>
    <row r="7" spans="2:11" x14ac:dyDescent="0.3">
      <c r="B7" s="70">
        <v>46</v>
      </c>
      <c r="C7" s="2" t="str">
        <f>VLOOKUP(TBL_S2[[#This Row],[Nr 1]],TBL_Team[],2,FALSE)</f>
        <v>Pieterman 6</v>
      </c>
      <c r="D7" s="2" t="s">
        <v>6</v>
      </c>
      <c r="E7" s="3" t="str">
        <f>VLOOKUP(TBL_S2[[#This Row],[Nr 2]],TBL_Team[],2,FALSE)</f>
        <v>Heusden 3</v>
      </c>
      <c r="F7" s="70">
        <v>13</v>
      </c>
      <c r="G7" s="27">
        <v>54</v>
      </c>
      <c r="H7" s="28">
        <v>34</v>
      </c>
      <c r="I7" s="62">
        <f xml:space="preserve"> ABS(TBL_S2[[#This Row],[IMP 2]]-TBL_S2[[#This Row],[IMP 1]])</f>
        <v>20</v>
      </c>
      <c r="J7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14.58</v>
      </c>
      <c r="K7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5.42</v>
      </c>
    </row>
    <row r="8" spans="2:11" x14ac:dyDescent="0.3">
      <c r="B8" s="70">
        <v>42</v>
      </c>
      <c r="C8" s="2" t="str">
        <f>VLOOKUP(TBL_S2[[#This Row],[Nr 1]],TBL_Team[],2,FALSE)</f>
        <v>Goldstar</v>
      </c>
      <c r="D8" s="2" t="s">
        <v>6</v>
      </c>
      <c r="E8" s="3" t="str">
        <f>VLOOKUP(TBL_S2[[#This Row],[Nr 2]],TBL_Team[],2,FALSE)</f>
        <v>G.L.A.M.</v>
      </c>
      <c r="F8" s="70">
        <v>2</v>
      </c>
      <c r="G8" s="27">
        <v>58</v>
      </c>
      <c r="H8" s="28">
        <v>35</v>
      </c>
      <c r="I8" s="62">
        <f xml:space="preserve"> ABS(TBL_S2[[#This Row],[IMP 2]]-TBL_S2[[#This Row],[IMP 1]])</f>
        <v>23</v>
      </c>
      <c r="J8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15.11</v>
      </c>
      <c r="K8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4.8900000000000006</v>
      </c>
    </row>
    <row r="9" spans="2:11" x14ac:dyDescent="0.3">
      <c r="B9" s="70">
        <v>16</v>
      </c>
      <c r="C9" s="2" t="str">
        <f>VLOOKUP(TBL_S2[[#This Row],[Nr 1]],TBL_Team[],2,FALSE)</f>
        <v>Waasmunster 1</v>
      </c>
      <c r="D9" s="2" t="s">
        <v>6</v>
      </c>
      <c r="E9" s="3" t="str">
        <f>VLOOKUP(TBL_S2[[#This Row],[Nr 2]],TBL_Team[],2,FALSE)</f>
        <v>Forum 3</v>
      </c>
      <c r="F9" s="70">
        <v>32</v>
      </c>
      <c r="G9" s="27">
        <v>56</v>
      </c>
      <c r="H9" s="28">
        <v>19</v>
      </c>
      <c r="I9" s="62">
        <f xml:space="preserve"> ABS(TBL_S2[[#This Row],[IMP 2]]-TBL_S2[[#This Row],[IMP 1]])</f>
        <v>37</v>
      </c>
      <c r="J9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17.190000000000001</v>
      </c>
      <c r="K9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2.8099999999999987</v>
      </c>
    </row>
    <row r="10" spans="2:11" x14ac:dyDescent="0.3">
      <c r="B10" s="70">
        <v>19</v>
      </c>
      <c r="C10" s="2" t="str">
        <f>VLOOKUP(TBL_S2[[#This Row],[Nr 1]],TBL_Team[],2,FALSE)</f>
        <v>Bee 1</v>
      </c>
      <c r="D10" s="2" t="s">
        <v>6</v>
      </c>
      <c r="E10" s="3" t="str">
        <f>VLOOKUP(TBL_S2[[#This Row],[Nr 2]],TBL_Team[],2,FALSE)</f>
        <v>ANPAROJO</v>
      </c>
      <c r="F10" s="70">
        <v>26</v>
      </c>
      <c r="G10" s="27">
        <v>66</v>
      </c>
      <c r="H10" s="28">
        <v>38</v>
      </c>
      <c r="I10" s="62">
        <f xml:space="preserve"> ABS(TBL_S2[[#This Row],[IMP 2]]-TBL_S2[[#This Row],[IMP 1]])</f>
        <v>28</v>
      </c>
      <c r="J10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15.93</v>
      </c>
      <c r="K10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4.07</v>
      </c>
    </row>
    <row r="11" spans="2:11" x14ac:dyDescent="0.3">
      <c r="B11" s="70">
        <v>5</v>
      </c>
      <c r="C11" s="2" t="str">
        <f>VLOOKUP(TBL_S2[[#This Row],[Nr 1]],TBL_Team[],2,FALSE)</f>
        <v>De Wevers</v>
      </c>
      <c r="D11" s="2" t="s">
        <v>6</v>
      </c>
      <c r="E11" s="2" t="str">
        <f>VLOOKUP(TBL_S2[[#This Row],[Nr 2]],TBL_Team[],2,FALSE)</f>
        <v>EBUROON 2</v>
      </c>
      <c r="F11" s="70">
        <v>34</v>
      </c>
      <c r="G11" s="27">
        <v>42</v>
      </c>
      <c r="H11" s="28">
        <v>46</v>
      </c>
      <c r="I11" s="62">
        <f xml:space="preserve"> ABS(TBL_S2[[#This Row],[IMP 2]]-TBL_S2[[#This Row],[IMP 1]])</f>
        <v>4</v>
      </c>
      <c r="J11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8.92</v>
      </c>
      <c r="K11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11.08</v>
      </c>
    </row>
    <row r="12" spans="2:11" x14ac:dyDescent="0.3">
      <c r="B12" s="70">
        <v>8</v>
      </c>
      <c r="C12" s="2" t="str">
        <f>VLOOKUP(TBL_S2[[#This Row],[Nr 1]],TBL_Team[],2,FALSE)</f>
        <v>Tom Pousse</v>
      </c>
      <c r="D12" s="2" t="s">
        <v>6</v>
      </c>
      <c r="E12" s="2" t="str">
        <f>VLOOKUP(TBL_S2[[#This Row],[Nr 2]],TBL_Team[],2,FALSE)</f>
        <v>Houtland</v>
      </c>
      <c r="F12" s="70">
        <v>35</v>
      </c>
      <c r="G12" s="27">
        <v>10</v>
      </c>
      <c r="H12" s="28">
        <v>102</v>
      </c>
      <c r="I12" s="62">
        <f xml:space="preserve"> ABS(TBL_S2[[#This Row],[IMP 2]]-TBL_S2[[#This Row],[IMP 1]])</f>
        <v>92</v>
      </c>
      <c r="J12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0</v>
      </c>
      <c r="K12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20</v>
      </c>
    </row>
    <row r="13" spans="2:11" x14ac:dyDescent="0.3">
      <c r="B13" s="70">
        <v>37</v>
      </c>
      <c r="C13" s="2" t="str">
        <f>VLOOKUP(TBL_S2[[#This Row],[Nr 1]],TBL_Team[],2,FALSE)</f>
        <v>REGENBOOG</v>
      </c>
      <c r="D13" s="2" t="s">
        <v>6</v>
      </c>
      <c r="E13" s="2" t="str">
        <f>VLOOKUP(TBL_S2[[#This Row],[Nr 2]],TBL_Team[],2,FALSE)</f>
        <v>DOWNAGAIN ?</v>
      </c>
      <c r="F13" s="70">
        <v>31</v>
      </c>
      <c r="G13" s="27">
        <v>71</v>
      </c>
      <c r="H13" s="28">
        <v>43</v>
      </c>
      <c r="I13" s="62">
        <f xml:space="preserve"> ABS(TBL_S2[[#This Row],[IMP 2]]-TBL_S2[[#This Row],[IMP 1]])</f>
        <v>28</v>
      </c>
      <c r="J13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15.93</v>
      </c>
      <c r="K13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4.07</v>
      </c>
    </row>
    <row r="14" spans="2:11" x14ac:dyDescent="0.3">
      <c r="B14" s="70">
        <v>36</v>
      </c>
      <c r="C14" s="2" t="str">
        <f>VLOOKUP(TBL_S2[[#This Row],[Nr 1]],TBL_Team[],2,FALSE)</f>
        <v>Voer</v>
      </c>
      <c r="D14" s="2" t="s">
        <v>6</v>
      </c>
      <c r="E14" s="2" t="str">
        <f>VLOOKUP(TBL_S2[[#This Row],[Nr 2]],TBL_Team[],2,FALSE)</f>
        <v>Kollebloem Puurs</v>
      </c>
      <c r="F14" s="70">
        <v>24</v>
      </c>
      <c r="G14" s="27">
        <v>29</v>
      </c>
      <c r="H14" s="28">
        <v>50</v>
      </c>
      <c r="I14" s="62">
        <f xml:space="preserve"> ABS(TBL_S2[[#This Row],[IMP 2]]-TBL_S2[[#This Row],[IMP 1]])</f>
        <v>21</v>
      </c>
      <c r="J14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5.24</v>
      </c>
      <c r="K14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14.76</v>
      </c>
    </row>
    <row r="15" spans="2:11" x14ac:dyDescent="0.3">
      <c r="B15" s="70">
        <v>22</v>
      </c>
      <c r="C15" s="2" t="str">
        <f>VLOOKUP(TBL_S2[[#This Row],[Nr 1]],TBL_Team[],2,FALSE)</f>
        <v>Roeselare 2</v>
      </c>
      <c r="D15" s="2" t="s">
        <v>6</v>
      </c>
      <c r="E15" s="2" t="str">
        <f>VLOOKUP(TBL_S2[[#This Row],[Nr 2]],TBL_Team[],2,FALSE)</f>
        <v>W8ebeke</v>
      </c>
      <c r="F15" s="70">
        <v>40</v>
      </c>
      <c r="G15" s="27">
        <v>56</v>
      </c>
      <c r="H15" s="28">
        <v>37</v>
      </c>
      <c r="I15" s="62">
        <f xml:space="preserve"> ABS(TBL_S2[[#This Row],[IMP 2]]-TBL_S2[[#This Row],[IMP 1]])</f>
        <v>19</v>
      </c>
      <c r="J15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14.39</v>
      </c>
      <c r="K15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5.6099999999999994</v>
      </c>
    </row>
    <row r="16" spans="2:11" x14ac:dyDescent="0.3">
      <c r="B16" s="70">
        <v>30</v>
      </c>
      <c r="C16" s="2" t="str">
        <f>VLOOKUP(TBL_S2[[#This Row],[Nr 1]],TBL_Team[],2,FALSE)</f>
        <v>Westrand 3</v>
      </c>
      <c r="D16" s="2" t="s">
        <v>6</v>
      </c>
      <c r="E16" s="2" t="str">
        <f>VLOOKUP(TBL_S2[[#This Row],[Nr 2]],TBL_Team[],2,FALSE)</f>
        <v>Waregem 5</v>
      </c>
      <c r="F16" s="70">
        <v>14</v>
      </c>
      <c r="G16" s="27">
        <v>45</v>
      </c>
      <c r="H16" s="28">
        <v>43</v>
      </c>
      <c r="I16" s="62">
        <f xml:space="preserve"> ABS(TBL_S2[[#This Row],[IMP 2]]-TBL_S2[[#This Row],[IMP 1]])</f>
        <v>2</v>
      </c>
      <c r="J16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10.55</v>
      </c>
      <c r="K16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9.4499999999999993</v>
      </c>
    </row>
    <row r="17" spans="2:11" x14ac:dyDescent="0.3">
      <c r="B17" s="70">
        <v>23</v>
      </c>
      <c r="C17" s="2" t="str">
        <f>VLOOKUP(TBL_S2[[#This Row],[Nr 1]],TBL_Team[],2,FALSE)</f>
        <v>Heusden 2</v>
      </c>
      <c r="D17" s="2" t="s">
        <v>6</v>
      </c>
      <c r="E17" s="2" t="str">
        <f>VLOOKUP(TBL_S2[[#This Row],[Nr 2]],TBL_Team[],2,FALSE)</f>
        <v>Boeckenberg 2</v>
      </c>
      <c r="F17" s="70">
        <v>6</v>
      </c>
      <c r="G17" s="27">
        <v>50</v>
      </c>
      <c r="H17" s="28">
        <v>30</v>
      </c>
      <c r="I17" s="62">
        <f xml:space="preserve"> ABS(TBL_S2[[#This Row],[IMP 2]]-TBL_S2[[#This Row],[IMP 1]])</f>
        <v>20</v>
      </c>
      <c r="J17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14.58</v>
      </c>
      <c r="K17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5.42</v>
      </c>
    </row>
    <row r="18" spans="2:11" x14ac:dyDescent="0.3">
      <c r="B18" s="70">
        <v>18</v>
      </c>
      <c r="C18" s="2" t="str">
        <f>VLOOKUP(TBL_S2[[#This Row],[Nr 1]],TBL_Team[],2,FALSE)</f>
        <v>MiMoDanan</v>
      </c>
      <c r="D18" s="2" t="s">
        <v>6</v>
      </c>
      <c r="E18" s="2" t="str">
        <f>VLOOKUP(TBL_S2[[#This Row],[Nr 2]],TBL_Team[],2,FALSE)</f>
        <v>Edegem 2</v>
      </c>
      <c r="F18" s="70">
        <v>45</v>
      </c>
      <c r="G18" s="27">
        <v>42</v>
      </c>
      <c r="H18" s="28">
        <v>49</v>
      </c>
      <c r="I18" s="62">
        <f xml:space="preserve"> ABS(TBL_S2[[#This Row],[IMP 2]]-TBL_S2[[#This Row],[IMP 1]])</f>
        <v>7</v>
      </c>
      <c r="J18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8.17</v>
      </c>
      <c r="K18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11.83</v>
      </c>
    </row>
    <row r="19" spans="2:11" x14ac:dyDescent="0.3">
      <c r="B19" s="70">
        <v>1</v>
      </c>
      <c r="C19" s="2" t="str">
        <f>VLOOKUP(TBL_S2[[#This Row],[Nr 1]],TBL_Team[],2,FALSE)</f>
        <v>Boeckenberg MK</v>
      </c>
      <c r="D19" s="2" t="s">
        <v>6</v>
      </c>
      <c r="E19" s="2" t="str">
        <f>VLOOKUP(TBL_S2[[#This Row],[Nr 2]],TBL_Team[],2,FALSE)</f>
        <v>Bee 2</v>
      </c>
      <c r="F19" s="70">
        <v>20</v>
      </c>
      <c r="G19" s="27">
        <v>38</v>
      </c>
      <c r="H19" s="28">
        <v>28</v>
      </c>
      <c r="I19" s="62">
        <f xml:space="preserve"> ABS(TBL_S2[[#This Row],[IMP 2]]-TBL_S2[[#This Row],[IMP 1]])</f>
        <v>10</v>
      </c>
      <c r="J19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12.53</v>
      </c>
      <c r="K19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7.4700000000000006</v>
      </c>
    </row>
    <row r="20" spans="2:11" x14ac:dyDescent="0.3">
      <c r="B20" s="70">
        <v>12</v>
      </c>
      <c r="C20" s="2" t="str">
        <f>VLOOKUP(TBL_S2[[#This Row],[Nr 1]],TBL_Team[],2,FALSE)</f>
        <v>jeweetwelwie</v>
      </c>
      <c r="D20" s="2" t="s">
        <v>6</v>
      </c>
      <c r="E20" s="2" t="str">
        <f>VLOOKUP(TBL_S2[[#This Row],[Nr 2]],TBL_Team[],2,FALSE)</f>
        <v>Nigranka</v>
      </c>
      <c r="F20" s="70">
        <v>33</v>
      </c>
      <c r="G20" s="27">
        <v>13</v>
      </c>
      <c r="H20" s="28">
        <v>74</v>
      </c>
      <c r="I20" s="62">
        <f xml:space="preserve"> ABS(TBL_S2[[#This Row],[IMP 2]]-TBL_S2[[#This Row],[IMP 1]])</f>
        <v>61</v>
      </c>
      <c r="J20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0.42999999999999972</v>
      </c>
      <c r="K20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19.57</v>
      </c>
    </row>
    <row r="21" spans="2:11" x14ac:dyDescent="0.3">
      <c r="B21" s="70">
        <v>27</v>
      </c>
      <c r="C21" s="2" t="str">
        <f>VLOOKUP(TBL_S2[[#This Row],[Nr 1]],TBL_Team[],2,FALSE)</f>
        <v>Essense 1</v>
      </c>
      <c r="D21" s="2" t="s">
        <v>6</v>
      </c>
      <c r="E21" s="2" t="str">
        <f>VLOOKUP(TBL_S2[[#This Row],[Nr 2]],TBL_Team[],2,FALSE)</f>
        <v>Sandeman 6</v>
      </c>
      <c r="F21" s="70">
        <v>38</v>
      </c>
      <c r="G21" s="27">
        <v>35</v>
      </c>
      <c r="H21" s="28">
        <v>40</v>
      </c>
      <c r="I21" s="62">
        <f xml:space="preserve"> ABS(TBL_S2[[#This Row],[IMP 2]]-TBL_S2[[#This Row],[IMP 1]])</f>
        <v>5</v>
      </c>
      <c r="J21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8.66</v>
      </c>
      <c r="K21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11.34</v>
      </c>
    </row>
    <row r="22" spans="2:11" x14ac:dyDescent="0.3">
      <c r="B22" s="70">
        <v>17</v>
      </c>
      <c r="C22" s="2" t="str">
        <f>VLOOKUP(TBL_S2[[#This Row],[Nr 1]],TBL_Team[],2,FALSE)</f>
        <v>Heusden 4</v>
      </c>
      <c r="D22" s="2" t="s">
        <v>6</v>
      </c>
      <c r="E22" s="2" t="str">
        <f>VLOOKUP(TBL_S2[[#This Row],[Nr 2]],TBL_Team[],2,FALSE)</f>
        <v>Geel 2</v>
      </c>
      <c r="F22" s="70">
        <v>3</v>
      </c>
      <c r="G22" s="27">
        <v>89</v>
      </c>
      <c r="H22" s="28">
        <v>49</v>
      </c>
      <c r="I22" s="62">
        <f xml:space="preserve"> ABS(TBL_S2[[#This Row],[IMP 2]]-TBL_S2[[#This Row],[IMP 1]])</f>
        <v>40</v>
      </c>
      <c r="J22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17.559999999999999</v>
      </c>
      <c r="K22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2.4400000000000013</v>
      </c>
    </row>
    <row r="23" spans="2:11" x14ac:dyDescent="0.3">
      <c r="B23" s="70">
        <v>41</v>
      </c>
      <c r="C23" s="2" t="str">
        <f>VLOOKUP(TBL_S2[[#This Row],[Nr 1]],TBL_Team[],2,FALSE)</f>
        <v>Sandeman7</v>
      </c>
      <c r="D23" s="2" t="s">
        <v>6</v>
      </c>
      <c r="E23" s="2" t="str">
        <f>VLOOKUP(TBL_S2[[#This Row],[Nr 2]],TBL_Team[],2,FALSE)</f>
        <v>Sandeman 3</v>
      </c>
      <c r="F23" s="70">
        <v>11</v>
      </c>
      <c r="G23" s="27">
        <v>32</v>
      </c>
      <c r="H23" s="28">
        <v>65</v>
      </c>
      <c r="I23" s="62">
        <f xml:space="preserve"> ABS(TBL_S2[[#This Row],[IMP 2]]-TBL_S2[[#This Row],[IMP 1]])</f>
        <v>33</v>
      </c>
      <c r="J23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3.34</v>
      </c>
      <c r="K23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16.66</v>
      </c>
    </row>
    <row r="24" spans="2:11" x14ac:dyDescent="0.3">
      <c r="B24" s="70">
        <v>44</v>
      </c>
      <c r="C24" s="2" t="str">
        <f>VLOOKUP(TBL_S2[[#This Row],[Nr 1]],TBL_Team[],2,FALSE)</f>
        <v>Edegem 1</v>
      </c>
      <c r="D24" s="2" t="s">
        <v>6</v>
      </c>
      <c r="E24" s="2" t="str">
        <f>VLOOKUP(TBL_S2[[#This Row],[Nr 2]],TBL_Team[],2,FALSE)</f>
        <v>Last minute</v>
      </c>
      <c r="F24" s="70">
        <v>43</v>
      </c>
      <c r="G24" s="27">
        <f>33+19</f>
        <v>52</v>
      </c>
      <c r="H24" s="28">
        <f>2+14</f>
        <v>16</v>
      </c>
      <c r="I24" s="62">
        <f xml:space="preserve"> ABS(TBL_S2[[#This Row],[IMP 2]]-TBL_S2[[#This Row],[IMP 1]])</f>
        <v>36</v>
      </c>
      <c r="J24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17.059999999999999</v>
      </c>
      <c r="K24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2.9400000000000013</v>
      </c>
    </row>
    <row r="25" spans="2:11" x14ac:dyDescent="0.3">
      <c r="B25" s="70">
        <v>15</v>
      </c>
      <c r="C25" s="2" t="str">
        <f>VLOOKUP(TBL_S2[[#This Row],[Nr 1]],TBL_Team[],2,FALSE)</f>
        <v>Sandeman 5</v>
      </c>
      <c r="D25" s="2" t="s">
        <v>6</v>
      </c>
      <c r="E25" s="2" t="str">
        <f>VLOOKUP(TBL_S2[[#This Row],[Nr 2]],TBL_Team[],2,FALSE)</f>
        <v>Bridgevrienden</v>
      </c>
      <c r="F25" s="70">
        <v>21</v>
      </c>
      <c r="G25" s="27">
        <v>10</v>
      </c>
      <c r="H25" s="28">
        <v>73</v>
      </c>
      <c r="I25" s="62">
        <f xml:space="preserve"> ABS(TBL_S2[[#This Row],[IMP 2]]-TBL_S2[[#This Row],[IMP 1]])</f>
        <v>63</v>
      </c>
      <c r="J25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0.28000000000000114</v>
      </c>
      <c r="K25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19.72</v>
      </c>
    </row>
    <row r="26" spans="2:11" x14ac:dyDescent="0.3">
      <c r="B26" s="70">
        <v>9</v>
      </c>
      <c r="C26" s="2" t="str">
        <f>VLOOKUP(TBL_S2[[#This Row],[Nr 1]],TBL_Team[],2,FALSE)</f>
        <v>De Cuatros</v>
      </c>
      <c r="D26" s="2" t="s">
        <v>6</v>
      </c>
      <c r="E26" s="2" t="str">
        <f>VLOOKUP(TBL_S2[[#This Row],[Nr 2]],TBL_Team[],2,FALSE)</f>
        <v>De Schlemielen</v>
      </c>
      <c r="F26" s="70">
        <v>29</v>
      </c>
      <c r="G26" s="27">
        <v>20</v>
      </c>
      <c r="H26" s="28">
        <v>59</v>
      </c>
      <c r="I26" s="62">
        <f xml:space="preserve"> ABS(TBL_S2[[#This Row],[IMP 2]]-TBL_S2[[#This Row],[IMP 1]])</f>
        <v>39</v>
      </c>
      <c r="J26" s="59">
        <f xml:space="preserve"> IF(ISBLANK(TBL_S2[[#This Row],[IMP 1]]), "", IF(TBL_S2[[#This Row],[IMP 1]]&gt;TBL_S2[[#This Row],[IMP 2]], VLOOKUP(TBL_S2[[#This Row],[IMP Diff]],TBL_VP[], 2, TRUE), VLOOKUP(TBL_S2[[#This Row],[IMP Diff]],TBL_VP[], 3, TRUE)))</f>
        <v>2.5599999999999987</v>
      </c>
      <c r="K26" s="60">
        <f xml:space="preserve"> IF(ISBLANK(TBL_S2[[#This Row],[IMP 2]]), "", IF(TBL_S2[[#This Row],[IMP 2]]&gt;TBL_S2[[#This Row],[IMP 1]], VLOOKUP(TBL_S2[[#This Row],[IMP Diff]],TBL_VP[], 2, TRUE), VLOOKUP(TBL_S2[[#This Row],[IMP Diff]],TBL_VP[], 3, TRUE)))</f>
        <v>17.440000000000001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9072C6-C652-4B48-91BB-2BD032DC304C}">
  <dimension ref="B3:K26"/>
  <sheetViews>
    <sheetView workbookViewId="0">
      <selection activeCell="I16" sqref="I16"/>
    </sheetView>
  </sheetViews>
  <sheetFormatPr defaultColWidth="9.33203125" defaultRowHeight="14.4" x14ac:dyDescent="0.3"/>
  <cols>
    <col min="2" max="2" width="4.88671875" bestFit="1" customWidth="1"/>
    <col min="3" max="3" width="31.6640625" customWidth="1"/>
    <col min="4" max="4" width="2.88671875" bestFit="1" customWidth="1"/>
    <col min="5" max="5" width="31.664062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9" customFormat="1" ht="15.6" x14ac:dyDescent="0.3">
      <c r="B3" s="8" t="s">
        <v>702</v>
      </c>
      <c r="C3" s="8" t="s">
        <v>704</v>
      </c>
      <c r="D3" s="8" t="s">
        <v>5</v>
      </c>
      <c r="E3" s="8" t="s">
        <v>705</v>
      </c>
      <c r="F3" s="8" t="s">
        <v>703</v>
      </c>
      <c r="G3" s="24" t="s">
        <v>0</v>
      </c>
      <c r="H3" s="25" t="s">
        <v>1</v>
      </c>
      <c r="I3" s="61" t="s">
        <v>4</v>
      </c>
      <c r="J3" s="58" t="s">
        <v>2</v>
      </c>
      <c r="K3" s="58" t="s">
        <v>3</v>
      </c>
    </row>
    <row r="4" spans="2:11" x14ac:dyDescent="0.3">
      <c r="B4" s="70">
        <v>11</v>
      </c>
      <c r="C4" s="2" t="str">
        <f>VLOOKUP(TBL_S1[[#This Row],[Nr 1]],TBL_Team[],2,FALSE)</f>
        <v>Sandeman 3</v>
      </c>
      <c r="D4" s="2" t="s">
        <v>6</v>
      </c>
      <c r="E4" s="2" t="str">
        <f>VLOOKUP(TBL_S1[[#This Row],[Nr 2]],TBL_Team[],2,FALSE)</f>
        <v>De plankierkaarters</v>
      </c>
      <c r="F4" s="70">
        <v>4</v>
      </c>
      <c r="G4" s="27">
        <v>36</v>
      </c>
      <c r="H4" s="28">
        <v>73</v>
      </c>
      <c r="I4" s="62">
        <f xml:space="preserve"> ABS(TBL_S1[[#This Row],[IMP 2]]-TBL_S1[[#This Row],[IMP 1]])</f>
        <v>37</v>
      </c>
      <c r="J4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2.8099999999999987</v>
      </c>
      <c r="K4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17.190000000000001</v>
      </c>
    </row>
    <row r="5" spans="2:11" x14ac:dyDescent="0.3">
      <c r="B5" s="70">
        <v>6</v>
      </c>
      <c r="C5" s="2" t="str">
        <f>VLOOKUP(TBL_S1[[#This Row],[Nr 1]],TBL_Team[],2,FALSE)</f>
        <v>Boeckenberg 2</v>
      </c>
      <c r="D5" s="2" t="s">
        <v>6</v>
      </c>
      <c r="E5" s="2" t="str">
        <f>VLOOKUP(TBL_S1[[#This Row],[Nr 2]],TBL_Team[],2,FALSE)</f>
        <v>REGENBOOG</v>
      </c>
      <c r="F5" s="70">
        <v>37</v>
      </c>
      <c r="G5" s="27">
        <v>35</v>
      </c>
      <c r="H5" s="28">
        <v>44</v>
      </c>
      <c r="I5" s="62">
        <f xml:space="preserve"> ABS(TBL_S1[[#This Row],[IMP 2]]-TBL_S1[[#This Row],[IMP 1]])</f>
        <v>9</v>
      </c>
      <c r="J5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7.6999999999999993</v>
      </c>
      <c r="K5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12.3</v>
      </c>
    </row>
    <row r="6" spans="2:11" x14ac:dyDescent="0.3">
      <c r="B6" s="70">
        <v>33</v>
      </c>
      <c r="C6" s="2" t="str">
        <f>VLOOKUP(TBL_S1[[#This Row],[Nr 1]],TBL_Team[],2,FALSE)</f>
        <v>Nigranka</v>
      </c>
      <c r="D6" s="2" t="s">
        <v>6</v>
      </c>
      <c r="E6" s="2" t="str">
        <f>VLOOKUP(TBL_S1[[#This Row],[Nr 2]],TBL_Team[],2,FALSE)</f>
        <v>ANPAROJO</v>
      </c>
      <c r="F6" s="70">
        <v>26</v>
      </c>
      <c r="G6" s="27">
        <v>34</v>
      </c>
      <c r="H6" s="28">
        <v>50</v>
      </c>
      <c r="I6" s="62">
        <f xml:space="preserve"> ABS(TBL_S1[[#This Row],[IMP 2]]-TBL_S1[[#This Row],[IMP 1]])</f>
        <v>16</v>
      </c>
      <c r="J6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6.1899999999999995</v>
      </c>
      <c r="K6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13.81</v>
      </c>
    </row>
    <row r="7" spans="2:11" x14ac:dyDescent="0.3">
      <c r="B7" s="70">
        <v>35</v>
      </c>
      <c r="C7" s="2" t="str">
        <f>VLOOKUP(TBL_S1[[#This Row],[Nr 1]],TBL_Team[],2,FALSE)</f>
        <v>Houtland</v>
      </c>
      <c r="D7" s="2" t="s">
        <v>6</v>
      </c>
      <c r="E7" s="3" t="str">
        <f>VLOOKUP(TBL_S1[[#This Row],[Nr 2]],TBL_Team[],2,FALSE)</f>
        <v>Edegem 2</v>
      </c>
      <c r="F7" s="70">
        <v>45</v>
      </c>
      <c r="G7" s="27">
        <v>48</v>
      </c>
      <c r="H7" s="28">
        <v>39</v>
      </c>
      <c r="I7" s="62">
        <f xml:space="preserve"> ABS(TBL_S1[[#This Row],[IMP 2]]-TBL_S1[[#This Row],[IMP 1]])</f>
        <v>9</v>
      </c>
      <c r="J7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12.3</v>
      </c>
      <c r="K7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7.6999999999999993</v>
      </c>
    </row>
    <row r="8" spans="2:11" x14ac:dyDescent="0.3">
      <c r="B8" s="70">
        <v>10</v>
      </c>
      <c r="C8" s="2" t="str">
        <f>VLOOKUP(TBL_S1[[#This Row],[Nr 1]],TBL_Team[],2,FALSE)</f>
        <v>KATMOTTEPASSE</v>
      </c>
      <c r="D8" s="2" t="s">
        <v>6</v>
      </c>
      <c r="E8" s="3" t="str">
        <f>VLOOKUP(TBL_S1[[#This Row],[Nr 2]],TBL_Team[],2,FALSE)</f>
        <v>De Cuatros</v>
      </c>
      <c r="F8" s="70">
        <v>9</v>
      </c>
      <c r="G8" s="27">
        <v>104</v>
      </c>
      <c r="H8" s="28">
        <v>23</v>
      </c>
      <c r="I8" s="62">
        <f xml:space="preserve"> ABS(TBL_S1[[#This Row],[IMP 2]]-TBL_S1[[#This Row],[IMP 1]])</f>
        <v>81</v>
      </c>
      <c r="J8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20</v>
      </c>
      <c r="K8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0</v>
      </c>
    </row>
    <row r="9" spans="2:11" x14ac:dyDescent="0.3">
      <c r="B9" s="70">
        <v>1</v>
      </c>
      <c r="C9" s="2" t="str">
        <f>VLOOKUP(TBL_S1[[#This Row],[Nr 1]],TBL_Team[],2,FALSE)</f>
        <v>Boeckenberg MK</v>
      </c>
      <c r="D9" s="2" t="s">
        <v>6</v>
      </c>
      <c r="E9" s="3" t="str">
        <f>VLOOKUP(TBL_S1[[#This Row],[Nr 2]],TBL_Team[],2,FALSE)</f>
        <v>EBUROON 2</v>
      </c>
      <c r="F9" s="70">
        <v>34</v>
      </c>
      <c r="G9" s="27">
        <v>52</v>
      </c>
      <c r="H9" s="28">
        <v>66</v>
      </c>
      <c r="I9" s="62">
        <f xml:space="preserve"> ABS(TBL_S1[[#This Row],[IMP 2]]-TBL_S1[[#This Row],[IMP 1]])</f>
        <v>14</v>
      </c>
      <c r="J9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6.59</v>
      </c>
      <c r="K9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13.41</v>
      </c>
    </row>
    <row r="10" spans="2:11" x14ac:dyDescent="0.3">
      <c r="B10" s="70">
        <v>13</v>
      </c>
      <c r="C10" s="2" t="str">
        <f>VLOOKUP(TBL_S1[[#This Row],[Nr 1]],TBL_Team[],2,FALSE)</f>
        <v>Heusden 3</v>
      </c>
      <c r="D10" s="2" t="s">
        <v>6</v>
      </c>
      <c r="E10" s="3" t="str">
        <f>VLOOKUP(TBL_S1[[#This Row],[Nr 2]],TBL_Team[],2,FALSE)</f>
        <v>Sandeman7</v>
      </c>
      <c r="F10" s="70">
        <v>41</v>
      </c>
      <c r="G10" s="27">
        <v>42</v>
      </c>
      <c r="H10" s="28">
        <v>10</v>
      </c>
      <c r="I10" s="62">
        <f xml:space="preserve"> ABS(TBL_S1[[#This Row],[IMP 2]]-TBL_S1[[#This Row],[IMP 1]])</f>
        <v>32</v>
      </c>
      <c r="J10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16.52</v>
      </c>
      <c r="K10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3.4800000000000004</v>
      </c>
    </row>
    <row r="11" spans="2:11" x14ac:dyDescent="0.3">
      <c r="B11" s="70">
        <v>16</v>
      </c>
      <c r="C11" s="2" t="str">
        <f>VLOOKUP(TBL_S1[[#This Row],[Nr 1]],TBL_Team[],2,FALSE)</f>
        <v>Waasmunster 1</v>
      </c>
      <c r="D11" s="2" t="s">
        <v>6</v>
      </c>
      <c r="E11" s="2" t="str">
        <f>VLOOKUP(TBL_S1[[#This Row],[Nr 2]],TBL_Team[],2,FALSE)</f>
        <v>Sandeman 6</v>
      </c>
      <c r="F11" s="70">
        <v>38</v>
      </c>
      <c r="G11" s="27">
        <v>53</v>
      </c>
      <c r="H11" s="28">
        <v>34</v>
      </c>
      <c r="I11" s="62">
        <f xml:space="preserve"> ABS(TBL_S1[[#This Row],[IMP 2]]-TBL_S1[[#This Row],[IMP 1]])</f>
        <v>19</v>
      </c>
      <c r="J11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14.39</v>
      </c>
      <c r="K11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5.6099999999999994</v>
      </c>
    </row>
    <row r="12" spans="2:11" x14ac:dyDescent="0.3">
      <c r="B12" s="70">
        <v>32</v>
      </c>
      <c r="C12" s="2" t="str">
        <f>VLOOKUP(TBL_S1[[#This Row],[Nr 1]],TBL_Team[],2,FALSE)</f>
        <v>Forum 3</v>
      </c>
      <c r="D12" s="2" t="s">
        <v>6</v>
      </c>
      <c r="E12" s="2" t="str">
        <f>VLOOKUP(TBL_S1[[#This Row],[Nr 2]],TBL_Team[],2,FALSE)</f>
        <v>Essense 1</v>
      </c>
      <c r="F12" s="70">
        <v>27</v>
      </c>
      <c r="G12" s="27">
        <v>51</v>
      </c>
      <c r="H12" s="28">
        <v>32</v>
      </c>
      <c r="I12" s="62">
        <f xml:space="preserve"> ABS(TBL_S1[[#This Row],[IMP 2]]-TBL_S1[[#This Row],[IMP 1]])</f>
        <v>19</v>
      </c>
      <c r="J12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14.39</v>
      </c>
      <c r="K12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5.6099999999999994</v>
      </c>
    </row>
    <row r="13" spans="2:11" x14ac:dyDescent="0.3">
      <c r="B13" s="70">
        <v>25</v>
      </c>
      <c r="C13" s="2" t="str">
        <f>VLOOKUP(TBL_S1[[#This Row],[Nr 1]],TBL_Team[],2,FALSE)</f>
        <v>Bree</v>
      </c>
      <c r="D13" s="2" t="s">
        <v>6</v>
      </c>
      <c r="E13" s="2" t="str">
        <f>VLOOKUP(TBL_S1[[#This Row],[Nr 2]],TBL_Team[],2,FALSE)</f>
        <v>Last minute</v>
      </c>
      <c r="F13" s="70">
        <v>43</v>
      </c>
      <c r="G13" s="27">
        <v>70</v>
      </c>
      <c r="H13" s="28">
        <v>30</v>
      </c>
      <c r="I13" s="62">
        <f xml:space="preserve"> ABS(TBL_S1[[#This Row],[IMP 2]]-TBL_S1[[#This Row],[IMP 1]])</f>
        <v>40</v>
      </c>
      <c r="J13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17.559999999999999</v>
      </c>
      <c r="K13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2.4400000000000013</v>
      </c>
    </row>
    <row r="14" spans="2:11" x14ac:dyDescent="0.3">
      <c r="B14" s="70">
        <v>2</v>
      </c>
      <c r="C14" s="2" t="str">
        <f>VLOOKUP(TBL_S1[[#This Row],[Nr 1]],TBL_Team[],2,FALSE)</f>
        <v>G.L.A.M.</v>
      </c>
      <c r="D14" s="2" t="s">
        <v>6</v>
      </c>
      <c r="E14" s="2" t="str">
        <f>VLOOKUP(TBL_S1[[#This Row],[Nr 2]],TBL_Team[],2,FALSE)</f>
        <v>Heusden 4</v>
      </c>
      <c r="F14" s="70">
        <v>17</v>
      </c>
      <c r="G14" s="27">
        <v>62</v>
      </c>
      <c r="H14" s="28">
        <v>35</v>
      </c>
      <c r="I14" s="62">
        <f xml:space="preserve"> ABS(TBL_S1[[#This Row],[IMP 2]]-TBL_S1[[#This Row],[IMP 1]])</f>
        <v>27</v>
      </c>
      <c r="J14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15.77</v>
      </c>
      <c r="K14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4.2300000000000004</v>
      </c>
    </row>
    <row r="15" spans="2:11" x14ac:dyDescent="0.3">
      <c r="B15" s="70">
        <v>5</v>
      </c>
      <c r="C15" s="2" t="str">
        <f>VLOOKUP(TBL_S1[[#This Row],[Nr 1]],TBL_Team[],2,FALSE)</f>
        <v>De Wevers</v>
      </c>
      <c r="D15" s="2" t="s">
        <v>6</v>
      </c>
      <c r="E15" s="2" t="str">
        <f>VLOOKUP(TBL_S1[[#This Row],[Nr 2]],TBL_Team[],2,FALSE)</f>
        <v>Bee 2</v>
      </c>
      <c r="F15" s="70">
        <v>20</v>
      </c>
      <c r="G15" s="27">
        <v>35</v>
      </c>
      <c r="H15" s="28">
        <v>20</v>
      </c>
      <c r="I15" s="62">
        <f xml:space="preserve"> ABS(TBL_S1[[#This Row],[IMP 2]]-TBL_S1[[#This Row],[IMP 1]])</f>
        <v>15</v>
      </c>
      <c r="J15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13.61</v>
      </c>
      <c r="K15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6.3900000000000006</v>
      </c>
    </row>
    <row r="16" spans="2:11" x14ac:dyDescent="0.3">
      <c r="B16" s="70">
        <v>46</v>
      </c>
      <c r="C16" s="2" t="str">
        <f>VLOOKUP(TBL_S1[[#This Row],[Nr 1]],TBL_Team[],2,FALSE)</f>
        <v>Pieterman 6</v>
      </c>
      <c r="D16" s="2" t="s">
        <v>6</v>
      </c>
      <c r="E16" s="2" t="str">
        <f>VLOOKUP(TBL_S1[[#This Row],[Nr 2]],TBL_Team[],2,FALSE)</f>
        <v>Edegem 1</v>
      </c>
      <c r="F16" s="70">
        <v>44</v>
      </c>
      <c r="G16" s="27">
        <v>61</v>
      </c>
      <c r="H16" s="28">
        <v>24</v>
      </c>
      <c r="I16" s="62">
        <f xml:space="preserve"> ABS(TBL_S1[[#This Row],[IMP 2]]-TBL_S1[[#This Row],[IMP 1]])</f>
        <v>37</v>
      </c>
      <c r="J16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17.190000000000001</v>
      </c>
      <c r="K16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2.8099999999999987</v>
      </c>
    </row>
    <row r="17" spans="2:11" x14ac:dyDescent="0.3">
      <c r="B17" s="70">
        <v>36</v>
      </c>
      <c r="C17" s="2" t="str">
        <f>VLOOKUP(TBL_S1[[#This Row],[Nr 1]],TBL_Team[],2,FALSE)</f>
        <v>Voer</v>
      </c>
      <c r="D17" s="2" t="s">
        <v>6</v>
      </c>
      <c r="E17" s="2" t="str">
        <f>VLOOKUP(TBL_S1[[#This Row],[Nr 2]],TBL_Team[],2,FALSE)</f>
        <v>Waregem 5</v>
      </c>
      <c r="F17" s="70">
        <v>14</v>
      </c>
      <c r="G17" s="27">
        <v>32</v>
      </c>
      <c r="H17" s="28">
        <v>25</v>
      </c>
      <c r="I17" s="62">
        <f xml:space="preserve"> ABS(TBL_S1[[#This Row],[IMP 2]]-TBL_S1[[#This Row],[IMP 1]])</f>
        <v>7</v>
      </c>
      <c r="J17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11.83</v>
      </c>
      <c r="K17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8.17</v>
      </c>
    </row>
    <row r="18" spans="2:11" x14ac:dyDescent="0.3">
      <c r="B18" s="70">
        <v>8</v>
      </c>
      <c r="C18" s="2" t="str">
        <f>VLOOKUP(TBL_S1[[#This Row],[Nr 1]],TBL_Team[],2,FALSE)</f>
        <v>Tom Pousse</v>
      </c>
      <c r="D18" s="2" t="s">
        <v>6</v>
      </c>
      <c r="E18" s="2" t="str">
        <f>VLOOKUP(TBL_S1[[#This Row],[Nr 2]],TBL_Team[],2,FALSE)</f>
        <v>MiMoDanan</v>
      </c>
      <c r="F18" s="70">
        <v>18</v>
      </c>
      <c r="G18" s="27">
        <v>42</v>
      </c>
      <c r="H18" s="28">
        <v>33</v>
      </c>
      <c r="I18" s="62">
        <f xml:space="preserve"> ABS(TBL_S1[[#This Row],[IMP 2]]-TBL_S1[[#This Row],[IMP 1]])</f>
        <v>9</v>
      </c>
      <c r="J18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12.3</v>
      </c>
      <c r="K18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7.6999999999999993</v>
      </c>
    </row>
    <row r="19" spans="2:11" x14ac:dyDescent="0.3">
      <c r="B19" s="70">
        <v>31</v>
      </c>
      <c r="C19" s="2" t="str">
        <f>VLOOKUP(TBL_S1[[#This Row],[Nr 1]],TBL_Team[],2,FALSE)</f>
        <v>DOWNAGAIN ?</v>
      </c>
      <c r="D19" s="2" t="s">
        <v>6</v>
      </c>
      <c r="E19" s="2" t="str">
        <f>VLOOKUP(TBL_S1[[#This Row],[Nr 2]],TBL_Team[],2,FALSE)</f>
        <v>Heusden 2</v>
      </c>
      <c r="F19" s="70">
        <v>23</v>
      </c>
      <c r="G19" s="27">
        <v>36</v>
      </c>
      <c r="H19" s="28">
        <v>29</v>
      </c>
      <c r="I19" s="62">
        <f xml:space="preserve"> ABS(TBL_S1[[#This Row],[IMP 2]]-TBL_S1[[#This Row],[IMP 1]])</f>
        <v>7</v>
      </c>
      <c r="J19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11.83</v>
      </c>
      <c r="K19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8.17</v>
      </c>
    </row>
    <row r="20" spans="2:11" x14ac:dyDescent="0.3">
      <c r="B20" s="70">
        <v>12</v>
      </c>
      <c r="C20" s="2" t="str">
        <f>VLOOKUP(TBL_S1[[#This Row],[Nr 1]],TBL_Team[],2,FALSE)</f>
        <v>jeweetwelwie</v>
      </c>
      <c r="D20" s="2" t="s">
        <v>6</v>
      </c>
      <c r="E20" s="2" t="str">
        <f>VLOOKUP(TBL_S1[[#This Row],[Nr 2]],TBL_Team[],2,FALSE)</f>
        <v>Bee 1</v>
      </c>
      <c r="F20" s="70">
        <v>19</v>
      </c>
      <c r="G20" s="27">
        <v>33</v>
      </c>
      <c r="H20" s="28">
        <v>49</v>
      </c>
      <c r="I20" s="62">
        <f xml:space="preserve"> ABS(TBL_S1[[#This Row],[IMP 2]]-TBL_S1[[#This Row],[IMP 1]])</f>
        <v>16</v>
      </c>
      <c r="J20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6.1899999999999995</v>
      </c>
      <c r="K20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13.81</v>
      </c>
    </row>
    <row r="21" spans="2:11" x14ac:dyDescent="0.3">
      <c r="B21" s="70">
        <v>30</v>
      </c>
      <c r="C21" s="2" t="str">
        <f>VLOOKUP(TBL_S1[[#This Row],[Nr 1]],TBL_Team[],2,FALSE)</f>
        <v>Westrand 3</v>
      </c>
      <c r="D21" s="2" t="s">
        <v>6</v>
      </c>
      <c r="E21" s="2" t="str">
        <f>VLOOKUP(TBL_S1[[#This Row],[Nr 2]],TBL_Team[],2,FALSE)</f>
        <v>Roeselare 2</v>
      </c>
      <c r="F21" s="70">
        <v>22</v>
      </c>
      <c r="G21" s="27">
        <v>48</v>
      </c>
      <c r="H21" s="28">
        <v>49</v>
      </c>
      <c r="I21" s="62">
        <f xml:space="preserve"> ABS(TBL_S1[[#This Row],[IMP 2]]-TBL_S1[[#This Row],[IMP 1]])</f>
        <v>1</v>
      </c>
      <c r="J21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9.7200000000000006</v>
      </c>
      <c r="K21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10.28</v>
      </c>
    </row>
    <row r="22" spans="2:11" x14ac:dyDescent="0.3">
      <c r="B22" s="70">
        <v>28</v>
      </c>
      <c r="C22" s="2" t="str">
        <f>VLOOKUP(TBL_S1[[#This Row],[Nr 1]],TBL_Team[],2,FALSE)</f>
        <v>Essense 2</v>
      </c>
      <c r="D22" s="2" t="s">
        <v>6</v>
      </c>
      <c r="E22" s="2" t="str">
        <f>VLOOKUP(TBL_S1[[#This Row],[Nr 2]],TBL_Team[],2,FALSE)</f>
        <v>Sandeman 5</v>
      </c>
      <c r="F22" s="70">
        <v>15</v>
      </c>
      <c r="G22" s="27">
        <f xml:space="preserve"> 39+26</f>
        <v>65</v>
      </c>
      <c r="H22" s="28">
        <f xml:space="preserve"> 14+9</f>
        <v>23</v>
      </c>
      <c r="I22" s="62">
        <f xml:space="preserve"> ABS(TBL_S1[[#This Row],[IMP 2]]-TBL_S1[[#This Row],[IMP 1]])</f>
        <v>42</v>
      </c>
      <c r="J22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17.79</v>
      </c>
      <c r="K22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2.2100000000000009</v>
      </c>
    </row>
    <row r="23" spans="2:11" x14ac:dyDescent="0.3">
      <c r="B23" s="70">
        <v>39</v>
      </c>
      <c r="C23" s="2" t="str">
        <f>VLOOKUP(TBL_S1[[#This Row],[Nr 1]],TBL_Team[],2,FALSE)</f>
        <v>De witte beren</v>
      </c>
      <c r="D23" s="2" t="s">
        <v>6</v>
      </c>
      <c r="E23" s="2" t="str">
        <f>VLOOKUP(TBL_S1[[#This Row],[Nr 2]],TBL_Team[],2,FALSE)</f>
        <v>Bridgevrienden</v>
      </c>
      <c r="F23" s="70">
        <v>21</v>
      </c>
      <c r="G23" s="27">
        <v>69</v>
      </c>
      <c r="H23" s="28">
        <v>11</v>
      </c>
      <c r="I23" s="62">
        <f xml:space="preserve"> ABS(TBL_S1[[#This Row],[IMP 2]]-TBL_S1[[#This Row],[IMP 1]])</f>
        <v>58</v>
      </c>
      <c r="J23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19.329999999999998</v>
      </c>
      <c r="K23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0.67000000000000171</v>
      </c>
    </row>
    <row r="24" spans="2:11" x14ac:dyDescent="0.3">
      <c r="B24" s="70">
        <v>3</v>
      </c>
      <c r="C24" s="2" t="str">
        <f>VLOOKUP(TBL_S1[[#This Row],[Nr 1]],TBL_Team[],2,FALSE)</f>
        <v>Geel 2</v>
      </c>
      <c r="D24" s="2" t="s">
        <v>6</v>
      </c>
      <c r="E24" s="2" t="str">
        <f>VLOOKUP(TBL_S1[[#This Row],[Nr 2]],TBL_Team[],2,FALSE)</f>
        <v>Goldstar</v>
      </c>
      <c r="F24" s="70">
        <v>42</v>
      </c>
      <c r="G24" s="27">
        <v>36</v>
      </c>
      <c r="H24" s="28">
        <v>67</v>
      </c>
      <c r="I24" s="62">
        <f xml:space="preserve"> ABS(TBL_S1[[#This Row],[IMP 2]]-TBL_S1[[#This Row],[IMP 1]])</f>
        <v>31</v>
      </c>
      <c r="J24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3.620000000000001</v>
      </c>
      <c r="K24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16.38</v>
      </c>
    </row>
    <row r="25" spans="2:11" x14ac:dyDescent="0.3">
      <c r="B25" s="70">
        <v>29</v>
      </c>
      <c r="C25" s="2" t="str">
        <f>VLOOKUP(TBL_S1[[#This Row],[Nr 1]],TBL_Team[],2,FALSE)</f>
        <v>De Schlemielen</v>
      </c>
      <c r="D25" s="2" t="s">
        <v>6</v>
      </c>
      <c r="E25" s="2" t="str">
        <f>VLOOKUP(TBL_S1[[#This Row],[Nr 2]],TBL_Team[],2,FALSE)</f>
        <v>Riviera 9</v>
      </c>
      <c r="F25" s="70">
        <v>7</v>
      </c>
      <c r="G25" s="27">
        <v>6</v>
      </c>
      <c r="H25" s="28">
        <v>96</v>
      </c>
      <c r="I25" s="62">
        <f xml:space="preserve"> ABS(TBL_S1[[#This Row],[IMP 2]]-TBL_S1[[#This Row],[IMP 1]])</f>
        <v>90</v>
      </c>
      <c r="J25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0</v>
      </c>
      <c r="K25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20</v>
      </c>
    </row>
    <row r="26" spans="2:11" x14ac:dyDescent="0.3">
      <c r="B26" s="70">
        <v>40</v>
      </c>
      <c r="C26" s="2" t="str">
        <f>VLOOKUP(TBL_S1[[#This Row],[Nr 1]],TBL_Team[],2,FALSE)</f>
        <v>W8ebeke</v>
      </c>
      <c r="D26" s="2" t="s">
        <v>6</v>
      </c>
      <c r="E26" s="2" t="str">
        <f>VLOOKUP(TBL_S1[[#This Row],[Nr 2]],TBL_Team[],2,FALSE)</f>
        <v>Kollebloem Puurs</v>
      </c>
      <c r="F26" s="70">
        <v>24</v>
      </c>
      <c r="G26" s="27">
        <v>38</v>
      </c>
      <c r="H26" s="28">
        <v>43</v>
      </c>
      <c r="I26" s="62">
        <f xml:space="preserve"> ABS(TBL_S1[[#This Row],[IMP 2]]-TBL_S1[[#This Row],[IMP 1]])</f>
        <v>5</v>
      </c>
      <c r="J26" s="59">
        <f xml:space="preserve"> IF(ISBLANK(TBL_S1[[#This Row],[IMP 1]]), "", IF(TBL_S1[[#This Row],[IMP 1]]&gt;TBL_S1[[#This Row],[IMP 2]], VLOOKUP(TBL_S1[[#This Row],[IMP Diff]],TBL_VP[], 2, TRUE), VLOOKUP(TBL_S1[[#This Row],[IMP Diff]],TBL_VP[], 3, TRUE)))</f>
        <v>8.66</v>
      </c>
      <c r="K26" s="60">
        <f xml:space="preserve"> IF(ISBLANK(TBL_S1[[#This Row],[IMP 2]]), "", IF(TBL_S1[[#This Row],[IMP 2]]&gt;TBL_S1[[#This Row],[IMP 1]], VLOOKUP(TBL_S1[[#This Row],[IMP Diff]],TBL_VP[], 2, TRUE), VLOOKUP(TBL_S1[[#This Row],[IMP Diff]],TBL_VP[], 3, TRUE)))</f>
        <v>11.34</v>
      </c>
    </row>
  </sheetData>
  <phoneticPr fontId="1" type="noConversion"/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51324E-74E3-4459-B8B2-EF07F0F2994C}">
  <sheetPr>
    <pageSetUpPr fitToPage="1"/>
  </sheetPr>
  <dimension ref="B1:AO48"/>
  <sheetViews>
    <sheetView workbookViewId="0">
      <pane xSplit="3" ySplit="2" topLeftCell="D15" activePane="bottomRight" state="frozen"/>
      <selection pane="topRight" activeCell="J1" sqref="J1"/>
      <selection pane="bottomLeft" activeCell="A3" sqref="A3"/>
      <selection pane="bottomRight" activeCell="D7" sqref="D7"/>
    </sheetView>
  </sheetViews>
  <sheetFormatPr defaultColWidth="9.33203125" defaultRowHeight="15.6" x14ac:dyDescent="0.3"/>
  <cols>
    <col min="2" max="2" width="9.109375" style="1" bestFit="1" customWidth="1"/>
    <col min="3" max="3" width="18.44140625" style="19" bestFit="1" customWidth="1"/>
    <col min="4" max="4" width="22.44140625" style="17" bestFit="1" customWidth="1"/>
    <col min="5" max="5" width="12.33203125" style="32" bestFit="1" customWidth="1"/>
    <col min="6" max="6" width="30.33203125" bestFit="1" customWidth="1"/>
    <col min="7" max="7" width="7.6640625" bestFit="1" customWidth="1"/>
    <col min="8" max="8" width="11.109375" bestFit="1" customWidth="1"/>
    <col min="9" max="9" width="20.6640625" bestFit="1" customWidth="1"/>
    <col min="10" max="10" width="6.6640625" bestFit="1" customWidth="1"/>
    <col min="11" max="11" width="11.44140625" bestFit="1" customWidth="1"/>
    <col min="12" max="12" width="20" bestFit="1" customWidth="1"/>
    <col min="13" max="13" width="6.6640625" bestFit="1" customWidth="1"/>
    <col min="14" max="14" width="11.33203125" bestFit="1" customWidth="1"/>
    <col min="15" max="15" width="23.33203125" bestFit="1" customWidth="1"/>
    <col min="16" max="16" width="6.6640625" bestFit="1" customWidth="1"/>
    <col min="17" max="17" width="11.5546875" bestFit="1" customWidth="1"/>
    <col min="18" max="18" width="20.109375" bestFit="1" customWidth="1"/>
    <col min="19" max="19" width="6.6640625" bestFit="1" customWidth="1"/>
    <col min="20" max="20" width="11.109375" bestFit="1" customWidth="1"/>
    <col min="21" max="21" width="18.88671875" bestFit="1" customWidth="1"/>
    <col min="22" max="22" width="6.6640625" bestFit="1" customWidth="1"/>
    <col min="23" max="23" width="10.88671875" bestFit="1" customWidth="1"/>
    <col min="24" max="24" width="19.6640625" bestFit="1" customWidth="1"/>
    <col min="25" max="25" width="6.6640625" bestFit="1" customWidth="1"/>
    <col min="26" max="26" width="10.88671875" bestFit="1" customWidth="1"/>
    <col min="27" max="27" width="17.88671875" bestFit="1" customWidth="1"/>
    <col min="28" max="28" width="6.6640625" bestFit="1" customWidth="1"/>
    <col min="29" max="29" width="9.88671875" bestFit="1" customWidth="1"/>
    <col min="30" max="30" width="15.6640625" bestFit="1" customWidth="1"/>
    <col min="31" max="31" width="6.6640625" bestFit="1" customWidth="1"/>
    <col min="32" max="32" width="9.6640625" bestFit="1" customWidth="1"/>
    <col min="33" max="33" width="18.33203125" bestFit="1" customWidth="1"/>
    <col min="34" max="34" width="7.88671875" bestFit="1" customWidth="1"/>
    <col min="35" max="35" width="10.109375" bestFit="1" customWidth="1"/>
    <col min="36" max="36" width="12.33203125" bestFit="1" customWidth="1"/>
    <col min="37" max="37" width="7.88671875" bestFit="1" customWidth="1"/>
    <col min="38" max="38" width="10.44140625" bestFit="1" customWidth="1"/>
    <col min="39" max="39" width="14.33203125" bestFit="1" customWidth="1"/>
    <col min="40" max="40" width="7.88671875" bestFit="1" customWidth="1"/>
    <col min="41" max="41" width="9" bestFit="1" customWidth="1"/>
  </cols>
  <sheetData>
    <row r="1" spans="2:41" ht="16.2" thickBot="1" x14ac:dyDescent="0.35"/>
    <row r="2" spans="2:41" s="8" customFormat="1" ht="16.2" thickBot="1" x14ac:dyDescent="0.35">
      <c r="B2" s="41" t="s">
        <v>51</v>
      </c>
      <c r="C2" s="42" t="s">
        <v>10</v>
      </c>
      <c r="D2" s="43" t="s">
        <v>27</v>
      </c>
      <c r="E2" s="44" t="s">
        <v>7</v>
      </c>
      <c r="F2" s="45" t="s">
        <v>8</v>
      </c>
      <c r="G2" s="45" t="s">
        <v>33</v>
      </c>
      <c r="H2" s="46" t="s">
        <v>19</v>
      </c>
      <c r="I2" s="45" t="s">
        <v>18</v>
      </c>
      <c r="J2" s="45" t="s">
        <v>34</v>
      </c>
      <c r="K2" s="46" t="s">
        <v>20</v>
      </c>
      <c r="L2" s="45" t="s">
        <v>21</v>
      </c>
      <c r="M2" s="45" t="s">
        <v>35</v>
      </c>
      <c r="N2" s="46" t="s">
        <v>22</v>
      </c>
      <c r="O2" s="45" t="s">
        <v>23</v>
      </c>
      <c r="P2" s="45" t="s">
        <v>36</v>
      </c>
      <c r="Q2" s="46" t="s">
        <v>24</v>
      </c>
      <c r="R2" s="45" t="s">
        <v>28</v>
      </c>
      <c r="S2" s="45" t="s">
        <v>37</v>
      </c>
      <c r="T2" s="46" t="s">
        <v>29</v>
      </c>
      <c r="U2" s="45" t="s">
        <v>30</v>
      </c>
      <c r="V2" s="45" t="s">
        <v>38</v>
      </c>
      <c r="W2" s="46" t="s">
        <v>31</v>
      </c>
      <c r="X2" s="45" t="s">
        <v>185</v>
      </c>
      <c r="Y2" s="45" t="s">
        <v>186</v>
      </c>
      <c r="Z2" s="46" t="s">
        <v>187</v>
      </c>
      <c r="AA2" s="45" t="s">
        <v>182</v>
      </c>
      <c r="AB2" s="45" t="s">
        <v>183</v>
      </c>
      <c r="AC2" s="46" t="s">
        <v>184</v>
      </c>
      <c r="AD2" s="47" t="s">
        <v>333</v>
      </c>
      <c r="AE2" s="47" t="s">
        <v>334</v>
      </c>
      <c r="AF2" s="49" t="s">
        <v>330</v>
      </c>
      <c r="AG2" s="47" t="s">
        <v>335</v>
      </c>
      <c r="AH2" s="47" t="s">
        <v>336</v>
      </c>
      <c r="AI2" s="49" t="s">
        <v>331</v>
      </c>
      <c r="AJ2" s="47" t="s">
        <v>337</v>
      </c>
      <c r="AK2" s="47" t="s">
        <v>338</v>
      </c>
      <c r="AL2" s="49" t="s">
        <v>332</v>
      </c>
      <c r="AM2" s="47" t="s">
        <v>423</v>
      </c>
      <c r="AN2" s="47" t="s">
        <v>424</v>
      </c>
      <c r="AO2" s="47" t="s">
        <v>425</v>
      </c>
    </row>
    <row r="3" spans="2:41" s="6" customFormat="1" ht="14.4" x14ac:dyDescent="0.3">
      <c r="B3" s="13">
        <v>1</v>
      </c>
      <c r="C3" s="18" t="s">
        <v>39</v>
      </c>
      <c r="D3" s="7" t="s">
        <v>40</v>
      </c>
      <c r="E3" s="30" t="s">
        <v>55</v>
      </c>
      <c r="F3" s="33" t="s">
        <v>41</v>
      </c>
      <c r="G3" s="34">
        <v>29641</v>
      </c>
      <c r="H3" s="29" t="s">
        <v>42</v>
      </c>
      <c r="I3" s="5" t="s">
        <v>43</v>
      </c>
      <c r="J3" s="5">
        <v>31236</v>
      </c>
      <c r="K3" s="29" t="s">
        <v>44</v>
      </c>
      <c r="L3" s="5" t="s">
        <v>45</v>
      </c>
      <c r="M3" s="5">
        <v>31237</v>
      </c>
      <c r="N3" s="29" t="s">
        <v>46</v>
      </c>
      <c r="O3" s="5" t="s">
        <v>47</v>
      </c>
      <c r="P3" s="5">
        <v>31479</v>
      </c>
      <c r="Q3" s="29" t="s">
        <v>48</v>
      </c>
      <c r="R3" s="5" t="s">
        <v>49</v>
      </c>
      <c r="S3" s="5">
        <v>31478</v>
      </c>
      <c r="T3" s="29" t="s">
        <v>50</v>
      </c>
      <c r="U3" s="5"/>
      <c r="V3" s="5"/>
      <c r="W3" s="29"/>
      <c r="X3" s="5"/>
      <c r="Y3" s="5"/>
      <c r="Z3" s="29"/>
      <c r="AA3" s="5"/>
      <c r="AB3" s="5"/>
      <c r="AC3" s="29"/>
      <c r="AF3" s="29"/>
      <c r="AI3" s="38"/>
      <c r="AJ3" s="40"/>
      <c r="AK3" s="40"/>
      <c r="AL3" s="38"/>
    </row>
    <row r="4" spans="2:41" s="6" customFormat="1" ht="14.4" x14ac:dyDescent="0.3">
      <c r="B4" s="13">
        <v>2</v>
      </c>
      <c r="C4" s="18" t="s">
        <v>52</v>
      </c>
      <c r="D4" s="11" t="s">
        <v>53</v>
      </c>
      <c r="E4" s="30" t="s">
        <v>54</v>
      </c>
      <c r="F4" s="33" t="s">
        <v>56</v>
      </c>
      <c r="G4" s="34">
        <v>18537</v>
      </c>
      <c r="H4" s="29" t="s">
        <v>57</v>
      </c>
      <c r="I4" s="6" t="s">
        <v>58</v>
      </c>
      <c r="J4" s="6">
        <v>23201</v>
      </c>
      <c r="K4" s="29" t="s">
        <v>59</v>
      </c>
      <c r="L4" s="5" t="s">
        <v>60</v>
      </c>
      <c r="M4" s="5">
        <v>21832</v>
      </c>
      <c r="N4" s="29" t="s">
        <v>61</v>
      </c>
      <c r="O4" s="5" t="s">
        <v>62</v>
      </c>
      <c r="P4" s="5">
        <v>21840</v>
      </c>
      <c r="Q4" s="29" t="s">
        <v>63</v>
      </c>
      <c r="R4" s="5"/>
      <c r="S4" s="5"/>
      <c r="T4" s="29"/>
      <c r="U4" s="5"/>
      <c r="V4" s="5"/>
      <c r="W4" s="29"/>
      <c r="X4" s="5"/>
      <c r="Y4" s="5"/>
      <c r="Z4" s="29"/>
      <c r="AA4" s="5"/>
      <c r="AB4" s="5"/>
      <c r="AC4" s="29"/>
      <c r="AF4" s="29"/>
      <c r="AI4" s="38"/>
      <c r="AJ4" s="40"/>
      <c r="AK4" s="40"/>
      <c r="AL4" s="38"/>
    </row>
    <row r="5" spans="2:41" s="6" customFormat="1" ht="14.4" x14ac:dyDescent="0.3">
      <c r="B5" s="13">
        <v>3</v>
      </c>
      <c r="C5" s="18" t="s">
        <v>64</v>
      </c>
      <c r="D5" s="7" t="s">
        <v>65</v>
      </c>
      <c r="E5" s="30" t="s">
        <v>66</v>
      </c>
      <c r="F5" s="33" t="s">
        <v>67</v>
      </c>
      <c r="G5" s="34">
        <v>21068</v>
      </c>
      <c r="H5" s="29" t="s">
        <v>68</v>
      </c>
      <c r="I5" s="5" t="s">
        <v>74</v>
      </c>
      <c r="J5" s="5">
        <v>20457</v>
      </c>
      <c r="K5" s="29" t="s">
        <v>69</v>
      </c>
      <c r="L5" s="5" t="s">
        <v>70</v>
      </c>
      <c r="M5" s="5">
        <v>10762</v>
      </c>
      <c r="N5" s="29" t="s">
        <v>71</v>
      </c>
      <c r="O5" s="5" t="s">
        <v>72</v>
      </c>
      <c r="P5" s="5">
        <v>31555</v>
      </c>
      <c r="Q5" s="29" t="s">
        <v>73</v>
      </c>
      <c r="R5" s="5"/>
      <c r="S5" s="5"/>
      <c r="T5" s="29"/>
      <c r="U5" s="5"/>
      <c r="V5" s="5"/>
      <c r="W5" s="29"/>
      <c r="X5" s="5"/>
      <c r="Y5" s="5"/>
      <c r="Z5" s="29"/>
      <c r="AA5" s="5"/>
      <c r="AB5" s="5"/>
      <c r="AC5" s="48"/>
      <c r="AF5" s="29"/>
      <c r="AI5" s="38"/>
      <c r="AJ5" s="40"/>
      <c r="AK5" s="40"/>
      <c r="AL5" s="38"/>
    </row>
    <row r="6" spans="2:41" s="6" customFormat="1" ht="14.4" x14ac:dyDescent="0.3">
      <c r="B6" s="13">
        <v>4</v>
      </c>
      <c r="C6" s="18" t="s">
        <v>75</v>
      </c>
      <c r="D6" s="4" t="s">
        <v>76</v>
      </c>
      <c r="E6" s="30" t="s">
        <v>728</v>
      </c>
      <c r="F6" s="33" t="s">
        <v>77</v>
      </c>
      <c r="G6" s="37">
        <v>23611</v>
      </c>
      <c r="H6" s="38" t="s">
        <v>160</v>
      </c>
      <c r="I6" s="39" t="s">
        <v>78</v>
      </c>
      <c r="J6" s="39">
        <v>16598</v>
      </c>
      <c r="K6" s="38" t="s">
        <v>161</v>
      </c>
      <c r="L6" s="40" t="s">
        <v>79</v>
      </c>
      <c r="M6" s="40">
        <v>24958</v>
      </c>
      <c r="N6" s="38" t="s">
        <v>162</v>
      </c>
      <c r="O6" s="40" t="s">
        <v>80</v>
      </c>
      <c r="P6" s="40">
        <v>18762</v>
      </c>
      <c r="Q6" s="38" t="s">
        <v>163</v>
      </c>
      <c r="R6" s="40" t="s">
        <v>81</v>
      </c>
      <c r="S6" s="40">
        <v>10848</v>
      </c>
      <c r="T6" s="38" t="s">
        <v>164</v>
      </c>
      <c r="U6" s="5" t="s">
        <v>166</v>
      </c>
      <c r="V6" s="5">
        <v>28872</v>
      </c>
      <c r="W6" s="29" t="s">
        <v>165</v>
      </c>
      <c r="X6" s="40"/>
      <c r="Y6" s="40"/>
      <c r="Z6" s="38"/>
      <c r="AA6" s="5"/>
      <c r="AC6" s="29"/>
      <c r="AF6" s="29"/>
      <c r="AI6" s="38"/>
      <c r="AJ6" s="40"/>
      <c r="AK6" s="40"/>
      <c r="AL6" s="38"/>
    </row>
    <row r="7" spans="2:41" s="6" customFormat="1" ht="14.4" x14ac:dyDescent="0.3">
      <c r="B7" s="13">
        <v>5</v>
      </c>
      <c r="C7" s="18" t="s">
        <v>82</v>
      </c>
      <c r="D7" s="7" t="s">
        <v>83</v>
      </c>
      <c r="E7" s="30" t="s">
        <v>84</v>
      </c>
      <c r="F7" s="33" t="s">
        <v>85</v>
      </c>
      <c r="G7" s="34">
        <v>30919</v>
      </c>
      <c r="H7" s="29" t="s">
        <v>86</v>
      </c>
      <c r="I7" s="5" t="s">
        <v>87</v>
      </c>
      <c r="J7" s="5">
        <v>31589</v>
      </c>
      <c r="K7" s="29" t="s">
        <v>88</v>
      </c>
      <c r="L7" s="5" t="s">
        <v>89</v>
      </c>
      <c r="M7" s="5">
        <v>31526</v>
      </c>
      <c r="N7" s="29" t="s">
        <v>90</v>
      </c>
      <c r="O7" s="5" t="s">
        <v>91</v>
      </c>
      <c r="P7" s="5">
        <v>31525</v>
      </c>
      <c r="Q7" s="29" t="s">
        <v>92</v>
      </c>
      <c r="R7" s="5"/>
      <c r="S7" s="5"/>
      <c r="T7" s="29"/>
      <c r="U7" s="5"/>
      <c r="V7" s="5"/>
      <c r="W7" s="29"/>
      <c r="X7" s="5"/>
      <c r="Y7" s="5"/>
      <c r="Z7" s="29"/>
      <c r="AA7" s="5"/>
      <c r="AC7" s="29"/>
      <c r="AF7" s="29"/>
      <c r="AI7" s="38"/>
      <c r="AJ7" s="40"/>
      <c r="AK7" s="40"/>
      <c r="AL7" s="38"/>
    </row>
    <row r="8" spans="2:41" s="6" customFormat="1" ht="14.4" x14ac:dyDescent="0.3">
      <c r="B8" s="13">
        <v>6</v>
      </c>
      <c r="C8" s="18" t="s">
        <v>93</v>
      </c>
      <c r="D8" s="11" t="s">
        <v>94</v>
      </c>
      <c r="E8" s="31" t="s">
        <v>95</v>
      </c>
      <c r="F8" s="33" t="s">
        <v>96</v>
      </c>
      <c r="G8" s="34">
        <v>27876</v>
      </c>
      <c r="H8" s="29" t="s">
        <v>97</v>
      </c>
      <c r="I8" s="5" t="s">
        <v>98</v>
      </c>
      <c r="J8" s="5">
        <v>23653</v>
      </c>
      <c r="K8" s="29" t="s">
        <v>99</v>
      </c>
      <c r="L8" s="5" t="s">
        <v>100</v>
      </c>
      <c r="M8" s="5">
        <v>26412</v>
      </c>
      <c r="N8" s="29" t="s">
        <v>101</v>
      </c>
      <c r="O8" s="5" t="s">
        <v>102</v>
      </c>
      <c r="P8" s="5">
        <v>27339</v>
      </c>
      <c r="Q8" s="29" t="s">
        <v>103</v>
      </c>
      <c r="R8" s="5" t="s">
        <v>104</v>
      </c>
      <c r="S8" s="5">
        <v>29121</v>
      </c>
      <c r="T8" s="29" t="s">
        <v>105</v>
      </c>
      <c r="U8" s="5" t="s">
        <v>106</v>
      </c>
      <c r="V8" s="5">
        <v>27871</v>
      </c>
      <c r="W8" s="29" t="s">
        <v>107</v>
      </c>
      <c r="X8" s="5"/>
      <c r="Y8" s="5"/>
      <c r="Z8" s="29"/>
      <c r="AA8" s="5"/>
      <c r="AC8" s="29"/>
      <c r="AF8" s="29"/>
      <c r="AI8" s="38"/>
      <c r="AJ8" s="40"/>
      <c r="AK8" s="40"/>
      <c r="AL8" s="38"/>
    </row>
    <row r="9" spans="2:41" s="6" customFormat="1" ht="14.4" x14ac:dyDescent="0.3">
      <c r="B9" s="13">
        <v>7</v>
      </c>
      <c r="C9" s="18" t="s">
        <v>108</v>
      </c>
      <c r="D9" s="11" t="s">
        <v>109</v>
      </c>
      <c r="E9" s="31" t="s">
        <v>110</v>
      </c>
      <c r="F9" s="36" t="s">
        <v>111</v>
      </c>
      <c r="G9" s="35">
        <v>31656</v>
      </c>
      <c r="H9" s="29" t="s">
        <v>112</v>
      </c>
      <c r="I9" s="5" t="s">
        <v>113</v>
      </c>
      <c r="J9" s="5">
        <v>29317</v>
      </c>
      <c r="K9" s="29" t="s">
        <v>114</v>
      </c>
      <c r="L9" s="5" t="s">
        <v>115</v>
      </c>
      <c r="M9" s="5">
        <v>31637</v>
      </c>
      <c r="N9" s="29" t="s">
        <v>116</v>
      </c>
      <c r="O9" s="5" t="s">
        <v>117</v>
      </c>
      <c r="P9" s="5">
        <v>27362</v>
      </c>
      <c r="Q9" s="29" t="s">
        <v>118</v>
      </c>
      <c r="R9" s="5" t="s">
        <v>119</v>
      </c>
      <c r="S9" s="5">
        <v>26156</v>
      </c>
      <c r="T9" s="29" t="s">
        <v>120</v>
      </c>
      <c r="U9" s="5" t="s">
        <v>121</v>
      </c>
      <c r="V9" s="5">
        <v>23065</v>
      </c>
      <c r="W9" s="29" t="s">
        <v>122</v>
      </c>
      <c r="X9" s="5"/>
      <c r="Y9" s="5"/>
      <c r="Z9" s="29"/>
      <c r="AA9" s="5"/>
      <c r="AC9" s="29"/>
      <c r="AF9" s="29"/>
      <c r="AI9" s="38"/>
      <c r="AJ9" s="40"/>
      <c r="AK9" s="40"/>
      <c r="AL9" s="38"/>
    </row>
    <row r="10" spans="2:41" s="6" customFormat="1" ht="14.4" x14ac:dyDescent="0.3">
      <c r="B10" s="13">
        <v>8</v>
      </c>
      <c r="C10" s="18" t="s">
        <v>123</v>
      </c>
      <c r="D10" s="7" t="s">
        <v>124</v>
      </c>
      <c r="E10" s="31" t="s">
        <v>125</v>
      </c>
      <c r="F10" s="36" t="s">
        <v>126</v>
      </c>
      <c r="G10" s="35">
        <v>31571</v>
      </c>
      <c r="H10" s="29" t="s">
        <v>127</v>
      </c>
      <c r="I10" s="16" t="s">
        <v>128</v>
      </c>
      <c r="J10" s="5">
        <v>21101</v>
      </c>
      <c r="K10" s="29" t="s">
        <v>129</v>
      </c>
      <c r="L10" s="5" t="s">
        <v>130</v>
      </c>
      <c r="M10" s="5">
        <v>21102</v>
      </c>
      <c r="N10" s="29" t="s">
        <v>131</v>
      </c>
      <c r="O10" s="5" t="s">
        <v>132</v>
      </c>
      <c r="P10" s="5">
        <v>31572</v>
      </c>
      <c r="Q10" s="29" t="s">
        <v>133</v>
      </c>
      <c r="R10" s="5"/>
      <c r="S10" s="5"/>
      <c r="T10" s="29"/>
      <c r="U10" s="5"/>
      <c r="V10" s="5"/>
      <c r="W10" s="29"/>
      <c r="X10" s="5"/>
      <c r="Y10" s="5"/>
      <c r="Z10" s="29"/>
      <c r="AA10" s="5"/>
      <c r="AC10" s="29"/>
      <c r="AF10" s="29"/>
      <c r="AI10" s="38"/>
      <c r="AJ10" s="40"/>
      <c r="AK10" s="40"/>
      <c r="AL10" s="38"/>
    </row>
    <row r="11" spans="2:41" s="6" customFormat="1" ht="14.4" x14ac:dyDescent="0.3">
      <c r="B11" s="13">
        <v>9</v>
      </c>
      <c r="C11" s="18" t="s">
        <v>134</v>
      </c>
      <c r="D11" s="7" t="s">
        <v>135</v>
      </c>
      <c r="E11" s="31" t="s">
        <v>136</v>
      </c>
      <c r="F11" s="36" t="s">
        <v>137</v>
      </c>
      <c r="G11" s="35">
        <v>31210</v>
      </c>
      <c r="H11" s="29" t="s">
        <v>138</v>
      </c>
      <c r="I11" s="5" t="s">
        <v>139</v>
      </c>
      <c r="J11" s="5">
        <v>25788</v>
      </c>
      <c r="K11" s="29" t="s">
        <v>140</v>
      </c>
      <c r="L11" s="5" t="s">
        <v>141</v>
      </c>
      <c r="M11" s="5">
        <v>28165</v>
      </c>
      <c r="N11" s="29" t="s">
        <v>142</v>
      </c>
      <c r="O11" s="5" t="s">
        <v>143</v>
      </c>
      <c r="P11" s="5">
        <v>31222</v>
      </c>
      <c r="Q11" s="29" t="s">
        <v>144</v>
      </c>
      <c r="R11" s="5"/>
      <c r="S11" s="5"/>
      <c r="T11" s="29"/>
      <c r="U11" s="5"/>
      <c r="V11" s="5"/>
      <c r="W11" s="29"/>
      <c r="X11" s="5"/>
      <c r="Y11" s="5"/>
      <c r="Z11" s="29"/>
      <c r="AA11" s="5"/>
      <c r="AC11" s="29"/>
      <c r="AF11" s="29"/>
      <c r="AI11" s="38"/>
      <c r="AJ11" s="40"/>
      <c r="AK11" s="40"/>
      <c r="AL11" s="38"/>
    </row>
    <row r="12" spans="2:41" s="6" customFormat="1" ht="14.4" x14ac:dyDescent="0.3">
      <c r="B12" s="13">
        <v>10</v>
      </c>
      <c r="C12" s="18" t="s">
        <v>145</v>
      </c>
      <c r="D12" s="7" t="s">
        <v>146</v>
      </c>
      <c r="E12" s="31" t="s">
        <v>147</v>
      </c>
      <c r="F12" s="36" t="s">
        <v>148</v>
      </c>
      <c r="G12" s="35">
        <v>32270</v>
      </c>
      <c r="H12" s="29" t="s">
        <v>149</v>
      </c>
      <c r="I12" s="5" t="s">
        <v>150</v>
      </c>
      <c r="J12" s="5">
        <v>32263</v>
      </c>
      <c r="K12" s="29" t="s">
        <v>151</v>
      </c>
      <c r="L12" s="5" t="s">
        <v>152</v>
      </c>
      <c r="M12" s="5">
        <v>32272</v>
      </c>
      <c r="N12" s="29" t="s">
        <v>153</v>
      </c>
      <c r="O12" s="5" t="s">
        <v>154</v>
      </c>
      <c r="P12" s="5">
        <v>32264</v>
      </c>
      <c r="Q12" s="29" t="s">
        <v>155</v>
      </c>
      <c r="R12" s="5" t="s">
        <v>156</v>
      </c>
      <c r="S12" s="5">
        <v>32265</v>
      </c>
      <c r="T12" s="29" t="s">
        <v>157</v>
      </c>
      <c r="U12" s="5" t="s">
        <v>158</v>
      </c>
      <c r="V12" s="5">
        <v>32271</v>
      </c>
      <c r="W12" s="29" t="s">
        <v>159</v>
      </c>
      <c r="X12" s="5"/>
      <c r="Y12" s="5"/>
      <c r="Z12" s="29"/>
      <c r="AA12" s="5"/>
      <c r="AC12" s="29"/>
      <c r="AF12" s="29"/>
      <c r="AI12" s="38"/>
      <c r="AJ12" s="40"/>
      <c r="AK12" s="40"/>
      <c r="AL12" s="38"/>
    </row>
    <row r="13" spans="2:41" s="6" customFormat="1" ht="14.4" x14ac:dyDescent="0.3">
      <c r="B13" s="13">
        <v>11</v>
      </c>
      <c r="C13" s="18" t="s">
        <v>167</v>
      </c>
      <c r="D13" s="7" t="s">
        <v>168</v>
      </c>
      <c r="E13" s="31" t="s">
        <v>169</v>
      </c>
      <c r="F13" s="36" t="s">
        <v>170</v>
      </c>
      <c r="G13" s="35">
        <v>29678</v>
      </c>
      <c r="H13" s="29" t="s">
        <v>171</v>
      </c>
      <c r="I13" s="5" t="s">
        <v>172</v>
      </c>
      <c r="J13" s="5">
        <v>18856</v>
      </c>
      <c r="K13" s="29" t="s">
        <v>173</v>
      </c>
      <c r="L13" s="5" t="s">
        <v>174</v>
      </c>
      <c r="M13" s="5">
        <v>17931</v>
      </c>
      <c r="N13" s="29" t="s">
        <v>175</v>
      </c>
      <c r="O13" s="5" t="s">
        <v>176</v>
      </c>
      <c r="P13" s="5">
        <v>28545</v>
      </c>
      <c r="Q13" s="29" t="s">
        <v>177</v>
      </c>
      <c r="R13" s="5" t="s">
        <v>178</v>
      </c>
      <c r="S13" s="5">
        <v>29707</v>
      </c>
      <c r="T13" s="29" t="s">
        <v>179</v>
      </c>
      <c r="U13" s="5" t="s">
        <v>180</v>
      </c>
      <c r="V13" s="5">
        <v>29805</v>
      </c>
      <c r="W13" s="29" t="s">
        <v>181</v>
      </c>
      <c r="X13" s="5" t="s">
        <v>188</v>
      </c>
      <c r="Y13" s="5">
        <v>29704</v>
      </c>
      <c r="Z13" s="29" t="s">
        <v>189</v>
      </c>
      <c r="AA13" s="5" t="s">
        <v>190</v>
      </c>
      <c r="AB13" s="6">
        <v>26897</v>
      </c>
      <c r="AC13" s="29" t="s">
        <v>191</v>
      </c>
      <c r="AF13" s="29"/>
      <c r="AI13" s="38"/>
      <c r="AJ13" s="40"/>
      <c r="AK13" s="40"/>
      <c r="AL13" s="38"/>
    </row>
    <row r="14" spans="2:41" s="6" customFormat="1" ht="14.4" x14ac:dyDescent="0.3">
      <c r="B14" s="13">
        <v>12</v>
      </c>
      <c r="C14" s="18" t="s">
        <v>192</v>
      </c>
      <c r="D14" s="7" t="s">
        <v>193</v>
      </c>
      <c r="E14" s="31" t="s">
        <v>194</v>
      </c>
      <c r="F14" s="36" t="s">
        <v>195</v>
      </c>
      <c r="G14" s="35">
        <v>12150</v>
      </c>
      <c r="H14" s="29" t="s">
        <v>196</v>
      </c>
      <c r="I14" s="5" t="s">
        <v>197</v>
      </c>
      <c r="J14" s="5">
        <v>27942</v>
      </c>
      <c r="K14" s="29" t="s">
        <v>198</v>
      </c>
      <c r="L14" s="5" t="s">
        <v>199</v>
      </c>
      <c r="M14" s="5">
        <v>14186</v>
      </c>
      <c r="N14" s="29" t="s">
        <v>200</v>
      </c>
      <c r="O14" s="5" t="s">
        <v>201</v>
      </c>
      <c r="P14" s="5">
        <v>24092</v>
      </c>
      <c r="Q14" s="29" t="s">
        <v>202</v>
      </c>
      <c r="R14" s="5" t="s">
        <v>725</v>
      </c>
      <c r="S14" s="5">
        <v>25130</v>
      </c>
      <c r="T14" s="29" t="s">
        <v>726</v>
      </c>
      <c r="U14" s="5"/>
      <c r="V14" s="5"/>
      <c r="W14" s="29"/>
      <c r="X14" s="5"/>
      <c r="Y14" s="5"/>
      <c r="Z14" s="29"/>
      <c r="AA14" s="5"/>
      <c r="AB14" s="5"/>
      <c r="AC14" s="29"/>
      <c r="AF14" s="29"/>
      <c r="AI14" s="38"/>
      <c r="AJ14" s="40"/>
      <c r="AK14" s="40"/>
      <c r="AL14" s="38"/>
    </row>
    <row r="15" spans="2:41" s="6" customFormat="1" ht="14.4" x14ac:dyDescent="0.3">
      <c r="B15" s="13">
        <v>13</v>
      </c>
      <c r="C15" s="18" t="s">
        <v>204</v>
      </c>
      <c r="D15" s="7" t="s">
        <v>203</v>
      </c>
      <c r="E15" s="31" t="s">
        <v>205</v>
      </c>
      <c r="F15" s="36" t="s">
        <v>206</v>
      </c>
      <c r="G15" s="35">
        <v>31692</v>
      </c>
      <c r="H15" s="29" t="s">
        <v>207</v>
      </c>
      <c r="I15" s="5" t="s">
        <v>208</v>
      </c>
      <c r="J15" s="5">
        <v>31684</v>
      </c>
      <c r="K15" s="29" t="s">
        <v>209</v>
      </c>
      <c r="L15" s="5" t="s">
        <v>210</v>
      </c>
      <c r="M15" s="5">
        <v>31690</v>
      </c>
      <c r="N15" s="29" t="s">
        <v>211</v>
      </c>
      <c r="O15" s="5" t="s">
        <v>212</v>
      </c>
      <c r="P15" s="5">
        <v>31693</v>
      </c>
      <c r="Q15" s="29" t="s">
        <v>213</v>
      </c>
      <c r="R15" s="5"/>
      <c r="S15" s="5"/>
      <c r="T15" s="29"/>
      <c r="U15" s="5"/>
      <c r="V15" s="5"/>
      <c r="W15" s="29"/>
      <c r="X15" s="5"/>
      <c r="Y15" s="5"/>
      <c r="Z15" s="29"/>
      <c r="AA15" s="5"/>
      <c r="AB15" s="5"/>
      <c r="AC15" s="29"/>
      <c r="AF15" s="29"/>
      <c r="AI15" s="38"/>
      <c r="AJ15" s="40"/>
      <c r="AK15" s="40"/>
      <c r="AL15" s="38"/>
    </row>
    <row r="16" spans="2:41" s="6" customFormat="1" ht="14.4" x14ac:dyDescent="0.3">
      <c r="B16" s="13">
        <v>14</v>
      </c>
      <c r="C16" s="18" t="s">
        <v>214</v>
      </c>
      <c r="D16" s="7" t="s">
        <v>261</v>
      </c>
      <c r="E16" s="31" t="s">
        <v>215</v>
      </c>
      <c r="F16" s="36" t="s">
        <v>216</v>
      </c>
      <c r="G16" s="35">
        <v>32530</v>
      </c>
      <c r="H16" s="29" t="s">
        <v>217</v>
      </c>
      <c r="I16" s="5" t="s">
        <v>218</v>
      </c>
      <c r="J16" s="5">
        <v>32275</v>
      </c>
      <c r="K16" s="29" t="s">
        <v>219</v>
      </c>
      <c r="L16" s="5" t="s">
        <v>220</v>
      </c>
      <c r="M16" s="5">
        <v>31668</v>
      </c>
      <c r="N16" s="29" t="s">
        <v>221</v>
      </c>
      <c r="O16" s="5" t="s">
        <v>222</v>
      </c>
      <c r="P16" s="5">
        <v>30356</v>
      </c>
      <c r="Q16" s="29" t="s">
        <v>223</v>
      </c>
      <c r="R16" s="5"/>
      <c r="S16" s="5"/>
      <c r="T16" s="29"/>
      <c r="U16" s="5"/>
      <c r="V16" s="5"/>
      <c r="W16" s="29"/>
      <c r="X16" s="5"/>
      <c r="Y16" s="5"/>
      <c r="Z16" s="29"/>
      <c r="AA16" s="5"/>
      <c r="AB16" s="5"/>
      <c r="AC16" s="29"/>
      <c r="AF16" s="29"/>
      <c r="AI16" s="38"/>
      <c r="AJ16" s="40"/>
      <c r="AK16" s="40"/>
      <c r="AL16" s="38"/>
    </row>
    <row r="17" spans="2:41" s="6" customFormat="1" ht="14.4" x14ac:dyDescent="0.3">
      <c r="B17" s="13">
        <v>15</v>
      </c>
      <c r="C17" s="18" t="s">
        <v>224</v>
      </c>
      <c r="D17" s="7" t="s">
        <v>241</v>
      </c>
      <c r="E17" s="31" t="s">
        <v>225</v>
      </c>
      <c r="F17" s="36" t="s">
        <v>226</v>
      </c>
      <c r="G17" s="35">
        <v>32509</v>
      </c>
      <c r="H17" s="29" t="s">
        <v>227</v>
      </c>
      <c r="I17" s="5" t="s">
        <v>228</v>
      </c>
      <c r="J17" s="5">
        <v>32507</v>
      </c>
      <c r="K17" s="29" t="s">
        <v>229</v>
      </c>
      <c r="L17" s="5" t="s">
        <v>230</v>
      </c>
      <c r="M17" s="5">
        <v>31771</v>
      </c>
      <c r="N17" s="29" t="s">
        <v>724</v>
      </c>
      <c r="O17" s="5" t="s">
        <v>231</v>
      </c>
      <c r="P17" s="5">
        <v>31755</v>
      </c>
      <c r="Q17" s="29" t="s">
        <v>232</v>
      </c>
      <c r="R17" s="5" t="s">
        <v>233</v>
      </c>
      <c r="S17" s="5">
        <v>31769</v>
      </c>
      <c r="T17" s="29" t="s">
        <v>234</v>
      </c>
      <c r="U17" s="5" t="s">
        <v>235</v>
      </c>
      <c r="V17" s="5">
        <v>31750</v>
      </c>
      <c r="W17" s="29" t="s">
        <v>236</v>
      </c>
      <c r="X17" s="5" t="s">
        <v>237</v>
      </c>
      <c r="Y17" s="5">
        <v>18210</v>
      </c>
      <c r="Z17" s="29" t="s">
        <v>238</v>
      </c>
      <c r="AA17" s="5" t="s">
        <v>239</v>
      </c>
      <c r="AB17" s="5">
        <v>32144</v>
      </c>
      <c r="AC17" s="29" t="s">
        <v>240</v>
      </c>
      <c r="AF17" s="29"/>
      <c r="AI17" s="38"/>
      <c r="AJ17" s="40"/>
      <c r="AK17" s="40"/>
      <c r="AL17" s="38"/>
    </row>
    <row r="18" spans="2:41" s="6" customFormat="1" ht="14.4" x14ac:dyDescent="0.3">
      <c r="B18" s="13">
        <v>16</v>
      </c>
      <c r="C18" s="18" t="s">
        <v>242</v>
      </c>
      <c r="D18" s="7" t="s">
        <v>243</v>
      </c>
      <c r="E18" s="31" t="s">
        <v>244</v>
      </c>
      <c r="F18" s="36" t="s">
        <v>245</v>
      </c>
      <c r="G18" s="35">
        <v>19246</v>
      </c>
      <c r="H18" s="29" t="s">
        <v>246</v>
      </c>
      <c r="I18" s="5" t="s">
        <v>247</v>
      </c>
      <c r="J18" s="5">
        <v>30116</v>
      </c>
      <c r="K18" s="29" t="s">
        <v>248</v>
      </c>
      <c r="L18" s="5" t="s">
        <v>249</v>
      </c>
      <c r="M18" s="5">
        <v>30018</v>
      </c>
      <c r="N18" s="29" t="s">
        <v>250</v>
      </c>
      <c r="O18" s="5" t="s">
        <v>251</v>
      </c>
      <c r="P18" s="5">
        <v>25380</v>
      </c>
      <c r="Q18" s="29" t="s">
        <v>252</v>
      </c>
      <c r="R18" s="5" t="s">
        <v>253</v>
      </c>
      <c r="S18" s="5">
        <v>28431</v>
      </c>
      <c r="T18" s="29" t="s">
        <v>254</v>
      </c>
      <c r="U18" s="5" t="s">
        <v>255</v>
      </c>
      <c r="V18" s="5">
        <v>28430</v>
      </c>
      <c r="W18" s="29" t="s">
        <v>256</v>
      </c>
      <c r="X18" s="5" t="s">
        <v>257</v>
      </c>
      <c r="Y18" s="5">
        <v>16891</v>
      </c>
      <c r="Z18" s="29" t="s">
        <v>258</v>
      </c>
      <c r="AA18" s="5" t="s">
        <v>259</v>
      </c>
      <c r="AB18" s="5">
        <v>12637</v>
      </c>
      <c r="AC18" s="29" t="s">
        <v>260</v>
      </c>
      <c r="AF18" s="29"/>
      <c r="AI18" s="38"/>
      <c r="AJ18" s="40"/>
      <c r="AK18" s="40"/>
      <c r="AL18" s="38"/>
    </row>
    <row r="19" spans="2:41" s="6" customFormat="1" ht="14.4" x14ac:dyDescent="0.3">
      <c r="B19" s="13">
        <v>17</v>
      </c>
      <c r="C19" s="18" t="s">
        <v>262</v>
      </c>
      <c r="D19" s="7" t="s">
        <v>263</v>
      </c>
      <c r="E19" s="31" t="s">
        <v>264</v>
      </c>
      <c r="F19" s="36" t="s">
        <v>265</v>
      </c>
      <c r="G19" s="35">
        <v>25924</v>
      </c>
      <c r="H19" s="29" t="s">
        <v>266</v>
      </c>
      <c r="I19" s="5" t="s">
        <v>267</v>
      </c>
      <c r="J19" s="5">
        <v>25562</v>
      </c>
      <c r="K19" s="29" t="s">
        <v>268</v>
      </c>
      <c r="L19" s="5" t="s">
        <v>269</v>
      </c>
      <c r="M19" s="5">
        <v>25923</v>
      </c>
      <c r="N19" s="29" t="s">
        <v>270</v>
      </c>
      <c r="O19" s="5" t="s">
        <v>271</v>
      </c>
      <c r="P19" s="5">
        <v>26861</v>
      </c>
      <c r="Q19" s="29" t="s">
        <v>272</v>
      </c>
      <c r="R19" s="5"/>
      <c r="S19" s="5"/>
      <c r="T19" s="29"/>
      <c r="U19" s="5"/>
      <c r="V19" s="5"/>
      <c r="W19" s="29"/>
      <c r="X19" s="5"/>
      <c r="Y19" s="5"/>
      <c r="Z19" s="29"/>
      <c r="AA19" s="5"/>
      <c r="AB19" s="5"/>
      <c r="AC19" s="29"/>
      <c r="AF19" s="29"/>
      <c r="AI19" s="38"/>
      <c r="AJ19" s="40"/>
      <c r="AK19" s="40"/>
      <c r="AL19" s="38"/>
    </row>
    <row r="20" spans="2:41" s="6" customFormat="1" ht="14.4" x14ac:dyDescent="0.3">
      <c r="B20" s="13">
        <v>18</v>
      </c>
      <c r="C20" s="18" t="s">
        <v>273</v>
      </c>
      <c r="D20" s="7" t="s">
        <v>274</v>
      </c>
      <c r="E20" s="31" t="s">
        <v>275</v>
      </c>
      <c r="F20" s="36" t="s">
        <v>276</v>
      </c>
      <c r="G20" s="35">
        <v>31931</v>
      </c>
      <c r="H20" s="29" t="s">
        <v>277</v>
      </c>
      <c r="I20" s="5" t="s">
        <v>278</v>
      </c>
      <c r="J20" s="5">
        <v>31932</v>
      </c>
      <c r="K20" s="29" t="s">
        <v>279</v>
      </c>
      <c r="L20" s="5" t="s">
        <v>280</v>
      </c>
      <c r="M20" s="5">
        <v>30275</v>
      </c>
      <c r="N20" s="29" t="s">
        <v>281</v>
      </c>
      <c r="O20" s="5" t="s">
        <v>282</v>
      </c>
      <c r="P20" s="5">
        <v>31664</v>
      </c>
      <c r="Q20" s="29" t="s">
        <v>283</v>
      </c>
      <c r="R20" s="5"/>
      <c r="S20" s="5"/>
      <c r="T20" s="29"/>
      <c r="U20" s="5"/>
      <c r="V20" s="5"/>
      <c r="W20" s="29"/>
      <c r="X20" s="5"/>
      <c r="Y20" s="5"/>
      <c r="Z20" s="29"/>
      <c r="AA20" s="5"/>
      <c r="AB20" s="5"/>
      <c r="AC20" s="29"/>
      <c r="AF20" s="29"/>
      <c r="AI20" s="38"/>
      <c r="AJ20" s="40"/>
      <c r="AK20" s="40"/>
      <c r="AL20" s="38"/>
    </row>
    <row r="21" spans="2:41" s="6" customFormat="1" ht="14.4" x14ac:dyDescent="0.3">
      <c r="B21" s="13">
        <v>19</v>
      </c>
      <c r="C21" s="18" t="s">
        <v>284</v>
      </c>
      <c r="D21" s="7" t="s">
        <v>285</v>
      </c>
      <c r="E21" s="31" t="s">
        <v>286</v>
      </c>
      <c r="F21" s="36" t="s">
        <v>287</v>
      </c>
      <c r="G21" s="35">
        <v>20948</v>
      </c>
      <c r="H21" s="29" t="s">
        <v>288</v>
      </c>
      <c r="I21" s="5" t="s">
        <v>289</v>
      </c>
      <c r="J21" s="5">
        <v>13340</v>
      </c>
      <c r="K21" s="29" t="s">
        <v>290</v>
      </c>
      <c r="L21" s="5" t="s">
        <v>291</v>
      </c>
      <c r="M21" s="5">
        <v>32833</v>
      </c>
      <c r="N21" s="29" t="s">
        <v>292</v>
      </c>
      <c r="O21" s="5" t="s">
        <v>293</v>
      </c>
      <c r="P21" s="5">
        <v>2721</v>
      </c>
      <c r="Q21" s="29" t="s">
        <v>294</v>
      </c>
      <c r="R21" s="5" t="s">
        <v>295</v>
      </c>
      <c r="S21" s="5">
        <v>19929</v>
      </c>
      <c r="T21" s="29" t="s">
        <v>296</v>
      </c>
      <c r="U21" s="5" t="s">
        <v>297</v>
      </c>
      <c r="V21" s="5">
        <v>22507</v>
      </c>
      <c r="W21" s="29" t="s">
        <v>298</v>
      </c>
      <c r="X21" s="5"/>
      <c r="Y21" s="5"/>
      <c r="Z21" s="29"/>
      <c r="AA21" s="5"/>
      <c r="AB21" s="5"/>
      <c r="AC21" s="29"/>
      <c r="AF21" s="29"/>
      <c r="AI21" s="38"/>
      <c r="AJ21" s="40"/>
      <c r="AK21" s="40"/>
      <c r="AL21" s="38"/>
    </row>
    <row r="22" spans="2:41" s="6" customFormat="1" ht="14.4" x14ac:dyDescent="0.3">
      <c r="B22" s="69">
        <v>20</v>
      </c>
      <c r="C22" s="63" t="s">
        <v>299</v>
      </c>
      <c r="D22" s="7" t="s">
        <v>300</v>
      </c>
      <c r="E22" s="31" t="s">
        <v>301</v>
      </c>
      <c r="F22" s="36" t="s">
        <v>302</v>
      </c>
      <c r="G22" s="35">
        <v>29761</v>
      </c>
      <c r="H22" s="29" t="s">
        <v>303</v>
      </c>
      <c r="I22" s="5" t="s">
        <v>304</v>
      </c>
      <c r="J22" s="5">
        <v>4239</v>
      </c>
      <c r="K22" s="29" t="s">
        <v>305</v>
      </c>
      <c r="L22" s="5" t="s">
        <v>306</v>
      </c>
      <c r="M22" s="5">
        <v>19506</v>
      </c>
      <c r="N22" s="29" t="s">
        <v>307</v>
      </c>
      <c r="O22" s="5" t="s">
        <v>308</v>
      </c>
      <c r="P22" s="5">
        <v>25209</v>
      </c>
      <c r="Q22" s="29" t="s">
        <v>309</v>
      </c>
      <c r="R22" s="5" t="s">
        <v>310</v>
      </c>
      <c r="S22" s="5">
        <v>21575</v>
      </c>
      <c r="T22" s="29" t="s">
        <v>708</v>
      </c>
      <c r="U22" s="5"/>
      <c r="V22" s="5"/>
      <c r="W22" s="29"/>
      <c r="X22" s="5"/>
      <c r="Y22" s="5"/>
      <c r="Z22" s="29"/>
      <c r="AA22" s="5"/>
      <c r="AB22" s="5"/>
      <c r="AC22" s="29"/>
      <c r="AF22" s="29"/>
      <c r="AI22" s="38"/>
      <c r="AJ22" s="40"/>
      <c r="AK22" s="40"/>
      <c r="AL22" s="38"/>
    </row>
    <row r="23" spans="2:41" s="6" customFormat="1" ht="14.4" x14ac:dyDescent="0.3">
      <c r="B23" s="13">
        <v>21</v>
      </c>
      <c r="C23" s="18" t="s">
        <v>311</v>
      </c>
      <c r="D23" s="7" t="s">
        <v>312</v>
      </c>
      <c r="E23" s="31" t="s">
        <v>313</v>
      </c>
      <c r="F23" s="36" t="s">
        <v>314</v>
      </c>
      <c r="G23" s="35">
        <v>28600</v>
      </c>
      <c r="H23" s="29" t="s">
        <v>315</v>
      </c>
      <c r="I23" s="5" t="s">
        <v>316</v>
      </c>
      <c r="J23" s="5">
        <v>27944</v>
      </c>
      <c r="K23" s="29" t="s">
        <v>317</v>
      </c>
      <c r="L23" s="5" t="s">
        <v>318</v>
      </c>
      <c r="M23" s="5">
        <v>27402</v>
      </c>
      <c r="N23" s="29" t="s">
        <v>319</v>
      </c>
      <c r="O23" s="5" t="s">
        <v>320</v>
      </c>
      <c r="P23" s="5">
        <v>27400</v>
      </c>
      <c r="Q23" s="29" t="s">
        <v>321</v>
      </c>
      <c r="R23" s="5" t="s">
        <v>322</v>
      </c>
      <c r="S23" s="5">
        <v>28294</v>
      </c>
      <c r="T23" s="29" t="s">
        <v>323</v>
      </c>
      <c r="U23" s="5" t="s">
        <v>324</v>
      </c>
      <c r="V23" s="5">
        <v>17585</v>
      </c>
      <c r="W23" s="29" t="s">
        <v>325</v>
      </c>
      <c r="X23" s="5" t="s">
        <v>326</v>
      </c>
      <c r="Y23" s="5">
        <v>29543</v>
      </c>
      <c r="Z23" s="29" t="s">
        <v>327</v>
      </c>
      <c r="AA23" s="5" t="s">
        <v>328</v>
      </c>
      <c r="AB23" s="5">
        <v>26027</v>
      </c>
      <c r="AC23" s="29" t="s">
        <v>329</v>
      </c>
      <c r="AD23" s="6" t="s">
        <v>339</v>
      </c>
      <c r="AE23" s="6">
        <v>24518</v>
      </c>
      <c r="AF23" s="29" t="s">
        <v>340</v>
      </c>
      <c r="AG23" s="6" t="s">
        <v>341</v>
      </c>
      <c r="AH23" s="6">
        <v>25678</v>
      </c>
      <c r="AI23" s="38" t="s">
        <v>342</v>
      </c>
      <c r="AJ23" s="40" t="s">
        <v>343</v>
      </c>
      <c r="AK23" s="40">
        <v>28202</v>
      </c>
      <c r="AL23" s="38" t="s">
        <v>344</v>
      </c>
    </row>
    <row r="24" spans="2:41" s="6" customFormat="1" ht="14.4" x14ac:dyDescent="0.3">
      <c r="B24" s="13">
        <v>22</v>
      </c>
      <c r="C24" s="18" t="s">
        <v>345</v>
      </c>
      <c r="D24" s="7" t="s">
        <v>346</v>
      </c>
      <c r="E24" s="31" t="s">
        <v>347</v>
      </c>
      <c r="F24" s="36" t="s">
        <v>348</v>
      </c>
      <c r="G24" s="35">
        <v>21250</v>
      </c>
      <c r="H24" s="29" t="s">
        <v>349</v>
      </c>
      <c r="I24" s="5" t="s">
        <v>350</v>
      </c>
      <c r="J24" s="5">
        <v>23451</v>
      </c>
      <c r="K24" s="29" t="s">
        <v>351</v>
      </c>
      <c r="L24" s="5" t="s">
        <v>352</v>
      </c>
      <c r="M24" s="5">
        <v>29406</v>
      </c>
      <c r="N24" s="29" t="s">
        <v>353</v>
      </c>
      <c r="O24" s="5" t="s">
        <v>354</v>
      </c>
      <c r="P24" s="5">
        <v>29405</v>
      </c>
      <c r="Q24" s="29" t="s">
        <v>355</v>
      </c>
      <c r="R24" s="5" t="s">
        <v>356</v>
      </c>
      <c r="S24" s="5">
        <v>26452</v>
      </c>
      <c r="T24" s="29" t="s">
        <v>357</v>
      </c>
      <c r="U24" s="5" t="s">
        <v>706</v>
      </c>
      <c r="V24" s="5">
        <v>30087</v>
      </c>
      <c r="W24" s="29" t="s">
        <v>707</v>
      </c>
      <c r="X24" s="5"/>
      <c r="Y24" s="5"/>
      <c r="Z24" s="29"/>
      <c r="AA24" s="5"/>
      <c r="AB24" s="5"/>
      <c r="AC24" s="29"/>
      <c r="AF24" s="29"/>
      <c r="AI24" s="38"/>
      <c r="AJ24" s="40"/>
      <c r="AK24" s="40"/>
      <c r="AL24" s="38"/>
    </row>
    <row r="25" spans="2:41" s="6" customFormat="1" ht="14.4" x14ac:dyDescent="0.3">
      <c r="B25" s="13">
        <v>23</v>
      </c>
      <c r="C25" s="18" t="s">
        <v>358</v>
      </c>
      <c r="D25" s="7" t="s">
        <v>359</v>
      </c>
      <c r="E25" s="31" t="s">
        <v>360</v>
      </c>
      <c r="F25" s="36" t="s">
        <v>361</v>
      </c>
      <c r="G25" s="35">
        <v>16948</v>
      </c>
      <c r="H25" s="29" t="s">
        <v>362</v>
      </c>
      <c r="I25" s="5" t="s">
        <v>363</v>
      </c>
      <c r="J25" s="5">
        <v>13987</v>
      </c>
      <c r="K25" s="29" t="s">
        <v>364</v>
      </c>
      <c r="L25" s="5" t="s">
        <v>365</v>
      </c>
      <c r="M25" s="5">
        <v>11444</v>
      </c>
      <c r="N25" s="29" t="s">
        <v>366</v>
      </c>
      <c r="O25" s="5" t="s">
        <v>367</v>
      </c>
      <c r="P25" s="5">
        <v>13810</v>
      </c>
      <c r="Q25" s="29" t="s">
        <v>368</v>
      </c>
      <c r="R25" s="5" t="s">
        <v>369</v>
      </c>
      <c r="S25" s="5">
        <v>24370</v>
      </c>
      <c r="T25" s="29" t="s">
        <v>370</v>
      </c>
      <c r="U25" s="5" t="s">
        <v>371</v>
      </c>
      <c r="V25" s="5">
        <v>21861</v>
      </c>
      <c r="W25" s="29" t="s">
        <v>372</v>
      </c>
      <c r="X25" s="5" t="s">
        <v>373</v>
      </c>
      <c r="Y25" s="5">
        <v>14582</v>
      </c>
      <c r="Z25" s="29" t="s">
        <v>374</v>
      </c>
      <c r="AA25" s="5" t="s">
        <v>375</v>
      </c>
      <c r="AB25" s="5">
        <v>14302</v>
      </c>
      <c r="AC25" s="29" t="s">
        <v>376</v>
      </c>
      <c r="AD25" s="6" t="s">
        <v>377</v>
      </c>
      <c r="AE25" s="6">
        <v>29440</v>
      </c>
      <c r="AF25" s="29" t="s">
        <v>378</v>
      </c>
      <c r="AI25" s="38"/>
      <c r="AJ25" s="40"/>
      <c r="AK25" s="40"/>
      <c r="AL25" s="38"/>
    </row>
    <row r="26" spans="2:41" s="6" customFormat="1" ht="14.4" x14ac:dyDescent="0.3">
      <c r="B26" s="13">
        <v>24</v>
      </c>
      <c r="C26" s="18" t="s">
        <v>379</v>
      </c>
      <c r="D26" s="7" t="s">
        <v>380</v>
      </c>
      <c r="E26" s="31" t="s">
        <v>381</v>
      </c>
      <c r="F26" s="36" t="s">
        <v>382</v>
      </c>
      <c r="G26" s="35">
        <v>29996</v>
      </c>
      <c r="H26" s="29" t="s">
        <v>383</v>
      </c>
      <c r="I26" s="6" t="s">
        <v>384</v>
      </c>
      <c r="J26" s="6">
        <v>11214</v>
      </c>
      <c r="K26" s="29" t="s">
        <v>385</v>
      </c>
      <c r="L26" s="5" t="s">
        <v>386</v>
      </c>
      <c r="M26" s="5">
        <v>17782</v>
      </c>
      <c r="N26" s="29" t="s">
        <v>387</v>
      </c>
      <c r="O26" s="5" t="s">
        <v>388</v>
      </c>
      <c r="P26" s="5">
        <v>30716</v>
      </c>
      <c r="Q26" s="29" t="s">
        <v>389</v>
      </c>
      <c r="R26" s="5" t="s">
        <v>390</v>
      </c>
      <c r="S26" s="5">
        <v>29519</v>
      </c>
      <c r="T26" s="29" t="s">
        <v>391</v>
      </c>
      <c r="U26" s="5" t="s">
        <v>392</v>
      </c>
      <c r="V26" s="5">
        <v>29991</v>
      </c>
      <c r="W26" s="29" t="s">
        <v>393</v>
      </c>
      <c r="X26" s="5" t="s">
        <v>394</v>
      </c>
      <c r="Y26" s="5">
        <v>28246</v>
      </c>
      <c r="Z26" s="29" t="s">
        <v>395</v>
      </c>
      <c r="AA26" s="5" t="s">
        <v>396</v>
      </c>
      <c r="AB26" s="5">
        <v>29594</v>
      </c>
      <c r="AC26" s="29" t="s">
        <v>397</v>
      </c>
      <c r="AF26" s="29"/>
      <c r="AI26" s="38"/>
      <c r="AJ26" s="40"/>
      <c r="AK26" s="40"/>
      <c r="AL26" s="38"/>
    </row>
    <row r="27" spans="2:41" s="6" customFormat="1" ht="14.4" x14ac:dyDescent="0.3">
      <c r="B27" s="13">
        <v>25</v>
      </c>
      <c r="C27" s="18" t="s">
        <v>398</v>
      </c>
      <c r="D27" s="7" t="s">
        <v>399</v>
      </c>
      <c r="E27" s="31" t="s">
        <v>400</v>
      </c>
      <c r="F27" s="36" t="s">
        <v>401</v>
      </c>
      <c r="G27" s="35">
        <v>25348</v>
      </c>
      <c r="H27" s="29" t="s">
        <v>402</v>
      </c>
      <c r="I27" s="5" t="s">
        <v>403</v>
      </c>
      <c r="J27" s="5">
        <v>29197</v>
      </c>
      <c r="K27" s="29" t="s">
        <v>404</v>
      </c>
      <c r="L27" s="5" t="s">
        <v>405</v>
      </c>
      <c r="M27" s="5">
        <v>29195</v>
      </c>
      <c r="N27" s="29" t="s">
        <v>406</v>
      </c>
      <c r="O27" s="5" t="s">
        <v>407</v>
      </c>
      <c r="P27" s="5">
        <v>16793</v>
      </c>
      <c r="Q27" s="29" t="s">
        <v>408</v>
      </c>
      <c r="R27" s="5" t="s">
        <v>409</v>
      </c>
      <c r="S27" s="5">
        <v>30815</v>
      </c>
      <c r="T27" s="29" t="s">
        <v>410</v>
      </c>
      <c r="U27" s="5" t="s">
        <v>411</v>
      </c>
      <c r="V27" s="5">
        <v>25343</v>
      </c>
      <c r="W27" s="29" t="s">
        <v>412</v>
      </c>
      <c r="X27" s="5" t="s">
        <v>413</v>
      </c>
      <c r="Y27" s="5">
        <v>26802</v>
      </c>
      <c r="Z27" s="29" t="s">
        <v>414</v>
      </c>
      <c r="AA27" s="5" t="s">
        <v>415</v>
      </c>
      <c r="AB27" s="5">
        <v>32210</v>
      </c>
      <c r="AC27" s="29" t="s">
        <v>416</v>
      </c>
      <c r="AD27" s="6" t="s">
        <v>417</v>
      </c>
      <c r="AE27" s="6">
        <v>24928</v>
      </c>
      <c r="AF27" s="29" t="s">
        <v>418</v>
      </c>
      <c r="AG27" s="6" t="s">
        <v>419</v>
      </c>
      <c r="AH27" s="6">
        <v>25347</v>
      </c>
      <c r="AI27" s="38" t="s">
        <v>420</v>
      </c>
      <c r="AJ27" s="40" t="s">
        <v>421</v>
      </c>
      <c r="AK27" s="40">
        <v>25345</v>
      </c>
      <c r="AL27" s="38" t="s">
        <v>422</v>
      </c>
      <c r="AM27" s="6" t="s">
        <v>426</v>
      </c>
      <c r="AN27" s="6">
        <v>21457</v>
      </c>
      <c r="AO27" s="6" t="s">
        <v>427</v>
      </c>
    </row>
    <row r="28" spans="2:41" s="6" customFormat="1" ht="14.4" x14ac:dyDescent="0.3">
      <c r="B28" s="13">
        <v>26</v>
      </c>
      <c r="C28" s="18" t="s">
        <v>428</v>
      </c>
      <c r="D28" s="7" t="s">
        <v>429</v>
      </c>
      <c r="E28" s="30" t="s">
        <v>430</v>
      </c>
      <c r="F28" s="33" t="s">
        <v>431</v>
      </c>
      <c r="G28" s="34">
        <v>31621</v>
      </c>
      <c r="H28" s="29" t="s">
        <v>432</v>
      </c>
      <c r="I28" s="5" t="s">
        <v>433</v>
      </c>
      <c r="J28" s="5">
        <v>31622</v>
      </c>
      <c r="K28" s="29" t="s">
        <v>434</v>
      </c>
      <c r="L28" s="5" t="s">
        <v>435</v>
      </c>
      <c r="M28" s="5">
        <v>30477</v>
      </c>
      <c r="N28" s="29" t="s">
        <v>436</v>
      </c>
      <c r="O28" s="5" t="s">
        <v>146</v>
      </c>
      <c r="P28" s="5">
        <v>30482</v>
      </c>
      <c r="Q28" s="29" t="s">
        <v>437</v>
      </c>
      <c r="R28" s="5"/>
      <c r="S28" s="5"/>
      <c r="T28" s="29"/>
      <c r="U28" s="5"/>
      <c r="V28" s="5"/>
      <c r="W28" s="29"/>
      <c r="X28" s="5"/>
      <c r="Y28" s="5"/>
      <c r="Z28" s="29"/>
      <c r="AA28" s="5"/>
      <c r="AB28" s="5"/>
      <c r="AC28" s="29"/>
      <c r="AF28" s="29"/>
      <c r="AI28" s="38"/>
      <c r="AJ28" s="40"/>
      <c r="AK28" s="40"/>
      <c r="AL28" s="38"/>
    </row>
    <row r="29" spans="2:41" s="6" customFormat="1" ht="14.4" x14ac:dyDescent="0.3">
      <c r="B29" s="13">
        <v>27</v>
      </c>
      <c r="C29" s="18" t="s">
        <v>438</v>
      </c>
      <c r="D29" s="7" t="s">
        <v>439</v>
      </c>
      <c r="E29" s="51" t="s">
        <v>516</v>
      </c>
      <c r="F29" s="33" t="s">
        <v>443</v>
      </c>
      <c r="G29" s="34">
        <v>30223</v>
      </c>
      <c r="H29" s="38" t="s">
        <v>541</v>
      </c>
      <c r="I29" s="5" t="s">
        <v>440</v>
      </c>
      <c r="J29" s="5">
        <v>23357</v>
      </c>
      <c r="K29" s="38" t="s">
        <v>682</v>
      </c>
      <c r="L29" s="5" t="s">
        <v>441</v>
      </c>
      <c r="M29" s="5">
        <v>31382</v>
      </c>
      <c r="N29" s="38" t="s">
        <v>683</v>
      </c>
      <c r="O29" s="5" t="s">
        <v>442</v>
      </c>
      <c r="P29" s="5">
        <v>31381</v>
      </c>
      <c r="Q29" s="38" t="s">
        <v>684</v>
      </c>
      <c r="R29" s="5"/>
      <c r="S29" s="5"/>
      <c r="T29" s="38"/>
      <c r="U29" s="5"/>
      <c r="V29" s="5"/>
      <c r="W29" s="29"/>
      <c r="X29" s="5"/>
      <c r="Y29" s="5"/>
      <c r="Z29" s="29"/>
      <c r="AA29" s="5"/>
      <c r="AB29" s="5"/>
      <c r="AC29" s="29"/>
      <c r="AF29" s="29"/>
      <c r="AI29" s="38"/>
      <c r="AJ29" s="40"/>
      <c r="AK29" s="40"/>
      <c r="AL29" s="38"/>
    </row>
    <row r="30" spans="2:41" s="6" customFormat="1" ht="14.4" x14ac:dyDescent="0.3">
      <c r="B30" s="69">
        <v>28</v>
      </c>
      <c r="C30" s="18" t="s">
        <v>444</v>
      </c>
      <c r="D30" s="7" t="s">
        <v>445</v>
      </c>
      <c r="E30" s="51" t="s">
        <v>517</v>
      </c>
      <c r="F30" s="33" t="s">
        <v>446</v>
      </c>
      <c r="G30" s="34">
        <v>30595</v>
      </c>
      <c r="H30" s="38" t="s">
        <v>555</v>
      </c>
      <c r="I30" s="5" t="s">
        <v>447</v>
      </c>
      <c r="J30" s="5">
        <v>32450</v>
      </c>
      <c r="K30" s="38" t="s">
        <v>556</v>
      </c>
      <c r="L30" s="5" t="s">
        <v>448</v>
      </c>
      <c r="M30" s="5">
        <v>31039</v>
      </c>
      <c r="N30" s="38" t="s">
        <v>557</v>
      </c>
      <c r="O30" s="5" t="s">
        <v>449</v>
      </c>
      <c r="P30" s="5">
        <v>16755</v>
      </c>
      <c r="Q30" s="38" t="s">
        <v>558</v>
      </c>
      <c r="R30" s="5" t="s">
        <v>450</v>
      </c>
      <c r="S30" s="5">
        <v>32451</v>
      </c>
      <c r="T30" s="50"/>
      <c r="U30" s="5"/>
      <c r="V30" s="5"/>
      <c r="W30" s="29"/>
      <c r="X30" s="5"/>
      <c r="Y30" s="5"/>
      <c r="Z30" s="29"/>
      <c r="AA30" s="5"/>
      <c r="AB30" s="5"/>
      <c r="AC30" s="29"/>
      <c r="AF30" s="29"/>
      <c r="AI30" s="38"/>
      <c r="AJ30" s="40"/>
      <c r="AK30" s="40"/>
      <c r="AL30" s="38"/>
    </row>
    <row r="31" spans="2:41" s="6" customFormat="1" ht="14.4" x14ac:dyDescent="0.3">
      <c r="B31" s="13">
        <v>29</v>
      </c>
      <c r="C31" s="18" t="s">
        <v>451</v>
      </c>
      <c r="D31" s="7" t="s">
        <v>452</v>
      </c>
      <c r="E31" s="30" t="s">
        <v>453</v>
      </c>
      <c r="F31" s="33" t="s">
        <v>454</v>
      </c>
      <c r="G31" s="34">
        <v>30909</v>
      </c>
      <c r="H31" s="29" t="s">
        <v>455</v>
      </c>
      <c r="I31" s="5" t="s">
        <v>456</v>
      </c>
      <c r="J31" s="5">
        <v>28101</v>
      </c>
      <c r="K31" s="29" t="s">
        <v>457</v>
      </c>
      <c r="L31" s="5" t="s">
        <v>458</v>
      </c>
      <c r="M31" s="5">
        <v>28093</v>
      </c>
      <c r="N31" s="29" t="s">
        <v>459</v>
      </c>
      <c r="O31" s="5" t="s">
        <v>460</v>
      </c>
      <c r="P31" s="5">
        <v>26365</v>
      </c>
      <c r="Q31" s="29" t="s">
        <v>461</v>
      </c>
      <c r="R31" s="5" t="s">
        <v>462</v>
      </c>
      <c r="S31" s="5">
        <v>29933</v>
      </c>
      <c r="T31" s="29" t="s">
        <v>463</v>
      </c>
      <c r="U31" s="5" t="s">
        <v>464</v>
      </c>
      <c r="V31" s="5">
        <v>19919</v>
      </c>
      <c r="W31" s="29" t="s">
        <v>465</v>
      </c>
      <c r="X31" s="5"/>
      <c r="Y31" s="5"/>
      <c r="Z31" s="29"/>
      <c r="AA31" s="5"/>
      <c r="AB31" s="5"/>
      <c r="AC31" s="29"/>
      <c r="AF31" s="29"/>
      <c r="AI31" s="38"/>
      <c r="AJ31" s="40"/>
      <c r="AK31" s="40"/>
      <c r="AL31" s="38"/>
    </row>
    <row r="32" spans="2:41" s="6" customFormat="1" ht="14.4" x14ac:dyDescent="0.3">
      <c r="B32" s="13">
        <v>30</v>
      </c>
      <c r="C32" s="18" t="s">
        <v>466</v>
      </c>
      <c r="D32" s="7" t="s">
        <v>467</v>
      </c>
      <c r="E32" s="30" t="s">
        <v>468</v>
      </c>
      <c r="F32" s="33" t="s">
        <v>469</v>
      </c>
      <c r="G32" s="34">
        <v>11181</v>
      </c>
      <c r="H32" s="29" t="s">
        <v>510</v>
      </c>
      <c r="I32" s="5" t="s">
        <v>470</v>
      </c>
      <c r="J32" s="5">
        <v>26557</v>
      </c>
      <c r="K32" s="29" t="s">
        <v>511</v>
      </c>
      <c r="L32" s="5" t="s">
        <v>471</v>
      </c>
      <c r="M32" s="5">
        <v>12144</v>
      </c>
      <c r="N32" s="29" t="s">
        <v>512</v>
      </c>
      <c r="O32" s="5" t="s">
        <v>472</v>
      </c>
      <c r="P32" s="5">
        <v>2923</v>
      </c>
      <c r="Q32" s="29" t="s">
        <v>513</v>
      </c>
      <c r="R32" s="5" t="s">
        <v>473</v>
      </c>
      <c r="S32" s="5">
        <v>10524</v>
      </c>
      <c r="T32" s="29" t="s">
        <v>514</v>
      </c>
      <c r="U32" s="5" t="s">
        <v>474</v>
      </c>
      <c r="V32" s="5">
        <v>20122</v>
      </c>
      <c r="W32" s="29" t="s">
        <v>515</v>
      </c>
      <c r="X32" s="5"/>
      <c r="Y32" s="5"/>
      <c r="Z32" s="29"/>
      <c r="AA32" s="5"/>
      <c r="AB32" s="5"/>
      <c r="AC32" s="29"/>
      <c r="AF32" s="29"/>
      <c r="AI32" s="38"/>
      <c r="AJ32" s="40"/>
      <c r="AK32" s="40"/>
      <c r="AL32" s="38"/>
    </row>
    <row r="33" spans="2:38" s="6" customFormat="1" ht="14.4" x14ac:dyDescent="0.3">
      <c r="B33" s="13">
        <v>31</v>
      </c>
      <c r="C33" s="18" t="s">
        <v>475</v>
      </c>
      <c r="D33" s="7" t="s">
        <v>476</v>
      </c>
      <c r="E33" s="30" t="s">
        <v>477</v>
      </c>
      <c r="F33" s="33" t="s">
        <v>478</v>
      </c>
      <c r="G33" s="34">
        <v>17912</v>
      </c>
      <c r="H33" s="29" t="s">
        <v>479</v>
      </c>
      <c r="I33" s="5" t="s">
        <v>480</v>
      </c>
      <c r="J33" s="5">
        <v>29397</v>
      </c>
      <c r="K33" s="29" t="s">
        <v>481</v>
      </c>
      <c r="L33" s="5" t="s">
        <v>482</v>
      </c>
      <c r="M33" s="5">
        <v>25869</v>
      </c>
      <c r="N33" s="29" t="s">
        <v>483</v>
      </c>
      <c r="O33" s="5" t="s">
        <v>484</v>
      </c>
      <c r="P33" s="5">
        <v>30975</v>
      </c>
      <c r="Q33" s="29" t="s">
        <v>485</v>
      </c>
      <c r="R33" s="5" t="s">
        <v>486</v>
      </c>
      <c r="S33" s="5">
        <v>17911</v>
      </c>
      <c r="T33" s="29" t="s">
        <v>487</v>
      </c>
      <c r="U33" s="5" t="s">
        <v>553</v>
      </c>
      <c r="V33" s="5">
        <v>27878</v>
      </c>
      <c r="W33" s="29" t="s">
        <v>554</v>
      </c>
      <c r="X33" s="5"/>
      <c r="Y33" s="5"/>
      <c r="Z33" s="29"/>
      <c r="AA33" s="5"/>
      <c r="AB33" s="5"/>
      <c r="AC33" s="29"/>
      <c r="AF33" s="29"/>
      <c r="AI33" s="38"/>
      <c r="AJ33" s="40"/>
      <c r="AK33" s="40"/>
      <c r="AL33" s="38"/>
    </row>
    <row r="34" spans="2:38" s="6" customFormat="1" ht="14.4" x14ac:dyDescent="0.3">
      <c r="B34" s="13">
        <v>32</v>
      </c>
      <c r="C34" s="18" t="s">
        <v>488</v>
      </c>
      <c r="D34" s="7" t="s">
        <v>489</v>
      </c>
      <c r="E34" s="30" t="s">
        <v>490</v>
      </c>
      <c r="F34" s="33" t="s">
        <v>491</v>
      </c>
      <c r="G34" s="34">
        <v>1083</v>
      </c>
      <c r="H34" s="29" t="s">
        <v>492</v>
      </c>
      <c r="I34" s="5" t="s">
        <v>493</v>
      </c>
      <c r="J34" s="5">
        <v>19659</v>
      </c>
      <c r="K34" s="29" t="s">
        <v>494</v>
      </c>
      <c r="L34" s="5" t="s">
        <v>495</v>
      </c>
      <c r="M34" s="5">
        <v>13071</v>
      </c>
      <c r="N34" s="29" t="s">
        <v>496</v>
      </c>
      <c r="O34" s="5" t="s">
        <v>497</v>
      </c>
      <c r="P34" s="5">
        <v>12083</v>
      </c>
      <c r="Q34" s="29" t="s">
        <v>498</v>
      </c>
      <c r="R34" s="5"/>
      <c r="S34" s="5"/>
      <c r="T34" s="29"/>
      <c r="U34" s="5"/>
      <c r="V34" s="5"/>
      <c r="W34" s="29"/>
      <c r="X34" s="5"/>
      <c r="Y34" s="5"/>
      <c r="Z34" s="29"/>
      <c r="AA34" s="5"/>
      <c r="AB34" s="5"/>
      <c r="AC34" s="29"/>
      <c r="AF34" s="29"/>
      <c r="AI34" s="38"/>
      <c r="AJ34" s="40"/>
      <c r="AK34" s="40"/>
      <c r="AL34" s="38"/>
    </row>
    <row r="35" spans="2:38" s="6" customFormat="1" ht="14.4" x14ac:dyDescent="0.3">
      <c r="B35" s="13">
        <v>33</v>
      </c>
      <c r="C35" s="18" t="s">
        <v>499</v>
      </c>
      <c r="D35" s="7" t="s">
        <v>500</v>
      </c>
      <c r="E35" s="30" t="s">
        <v>501</v>
      </c>
      <c r="F35" s="33" t="s">
        <v>502</v>
      </c>
      <c r="G35" s="34">
        <v>29712</v>
      </c>
      <c r="H35" s="29" t="s">
        <v>503</v>
      </c>
      <c r="I35" s="5" t="s">
        <v>504</v>
      </c>
      <c r="J35" s="5">
        <v>29716</v>
      </c>
      <c r="K35" s="29" t="s">
        <v>505</v>
      </c>
      <c r="L35" s="5" t="s">
        <v>506</v>
      </c>
      <c r="M35" s="5">
        <v>22137</v>
      </c>
      <c r="N35" s="29" t="s">
        <v>507</v>
      </c>
      <c r="O35" s="5" t="s">
        <v>508</v>
      </c>
      <c r="P35" s="5">
        <v>22136</v>
      </c>
      <c r="Q35" s="29" t="s">
        <v>509</v>
      </c>
      <c r="R35" s="5"/>
      <c r="S35" s="5"/>
      <c r="T35" s="29"/>
      <c r="U35" s="5"/>
      <c r="V35" s="5"/>
      <c r="W35" s="29"/>
      <c r="X35" s="5"/>
      <c r="Y35" s="5"/>
      <c r="Z35" s="29"/>
      <c r="AA35" s="5"/>
      <c r="AB35" s="5"/>
      <c r="AC35" s="29"/>
      <c r="AF35" s="29"/>
      <c r="AI35" s="38"/>
      <c r="AJ35" s="40"/>
      <c r="AK35" s="40"/>
      <c r="AL35" s="38"/>
    </row>
    <row r="36" spans="2:38" s="6" customFormat="1" ht="14.4" x14ac:dyDescent="0.3">
      <c r="B36" s="13">
        <v>34</v>
      </c>
      <c r="C36" s="18" t="s">
        <v>614</v>
      </c>
      <c r="D36" s="7" t="s">
        <v>518</v>
      </c>
      <c r="E36" s="30" t="s">
        <v>519</v>
      </c>
      <c r="F36" s="33" t="s">
        <v>520</v>
      </c>
      <c r="G36" s="34">
        <v>28143</v>
      </c>
      <c r="H36" s="29" t="s">
        <v>521</v>
      </c>
      <c r="I36" s="5" t="s">
        <v>522</v>
      </c>
      <c r="J36" s="5">
        <v>28144</v>
      </c>
      <c r="K36" s="29" t="s">
        <v>523</v>
      </c>
      <c r="L36" s="5" t="s">
        <v>524</v>
      </c>
      <c r="M36" s="5">
        <v>29544</v>
      </c>
      <c r="N36" s="29" t="s">
        <v>525</v>
      </c>
      <c r="O36" s="5" t="s">
        <v>526</v>
      </c>
      <c r="P36" s="5">
        <v>28125</v>
      </c>
      <c r="Q36" s="29" t="s">
        <v>527</v>
      </c>
      <c r="R36" s="5"/>
      <c r="S36" s="5"/>
      <c r="T36" s="29"/>
      <c r="U36" s="5"/>
      <c r="V36" s="5"/>
      <c r="W36" s="29"/>
      <c r="X36" s="5"/>
      <c r="Y36" s="5"/>
      <c r="Z36" s="29"/>
      <c r="AA36" s="5"/>
      <c r="AB36" s="5"/>
      <c r="AC36" s="29"/>
      <c r="AF36" s="29"/>
      <c r="AI36" s="38"/>
      <c r="AJ36" s="40"/>
      <c r="AK36" s="40"/>
      <c r="AL36" s="38"/>
    </row>
    <row r="37" spans="2:38" s="6" customFormat="1" ht="14.4" x14ac:dyDescent="0.3">
      <c r="B37" s="13">
        <v>35</v>
      </c>
      <c r="C37" s="18" t="s">
        <v>528</v>
      </c>
      <c r="D37" s="7" t="s">
        <v>529</v>
      </c>
      <c r="E37" s="30" t="s">
        <v>530</v>
      </c>
      <c r="F37" s="33" t="s">
        <v>531</v>
      </c>
      <c r="G37" s="34">
        <v>16824</v>
      </c>
      <c r="H37" s="29" t="s">
        <v>532</v>
      </c>
      <c r="I37" s="5" t="s">
        <v>533</v>
      </c>
      <c r="J37" s="5">
        <v>32106</v>
      </c>
      <c r="K37" s="29" t="s">
        <v>534</v>
      </c>
      <c r="L37" s="5" t="s">
        <v>535</v>
      </c>
      <c r="M37" s="5">
        <v>32105</v>
      </c>
      <c r="N37" s="29" t="s">
        <v>536</v>
      </c>
      <c r="O37" s="5" t="s">
        <v>537</v>
      </c>
      <c r="P37" s="5">
        <v>30528</v>
      </c>
      <c r="Q37" s="29" t="s">
        <v>538</v>
      </c>
      <c r="R37" s="5" t="s">
        <v>539</v>
      </c>
      <c r="S37" s="5">
        <v>32296</v>
      </c>
      <c r="T37" s="29" t="s">
        <v>540</v>
      </c>
      <c r="U37" s="5" t="s">
        <v>709</v>
      </c>
      <c r="V37" s="5">
        <v>19513</v>
      </c>
      <c r="W37" s="29" t="s">
        <v>710</v>
      </c>
      <c r="X37" s="5" t="s">
        <v>711</v>
      </c>
      <c r="Y37" s="5">
        <v>26415</v>
      </c>
      <c r="Z37" s="29" t="s">
        <v>712</v>
      </c>
      <c r="AA37" s="5" t="s">
        <v>713</v>
      </c>
      <c r="AB37" s="5">
        <v>27331</v>
      </c>
      <c r="AC37" s="29" t="s">
        <v>714</v>
      </c>
      <c r="AD37" s="6" t="s">
        <v>715</v>
      </c>
      <c r="AE37" s="6">
        <v>25389</v>
      </c>
      <c r="AF37" s="29" t="s">
        <v>716</v>
      </c>
      <c r="AG37" s="6" t="s">
        <v>717</v>
      </c>
      <c r="AH37" s="6">
        <v>27012</v>
      </c>
      <c r="AI37" s="38" t="s">
        <v>718</v>
      </c>
      <c r="AJ37" s="40"/>
      <c r="AK37" s="40"/>
      <c r="AL37" s="38"/>
    </row>
    <row r="38" spans="2:38" s="6" customFormat="1" ht="14.4" x14ac:dyDescent="0.3">
      <c r="B38" s="13">
        <v>36</v>
      </c>
      <c r="C38" s="18" t="s">
        <v>542</v>
      </c>
      <c r="D38" s="7" t="s">
        <v>543</v>
      </c>
      <c r="E38" s="30" t="s">
        <v>544</v>
      </c>
      <c r="F38" s="33" t="s">
        <v>545</v>
      </c>
      <c r="G38" s="34">
        <v>13937</v>
      </c>
      <c r="H38" s="29" t="s">
        <v>546</v>
      </c>
      <c r="I38" s="5" t="s">
        <v>547</v>
      </c>
      <c r="J38" s="5">
        <v>15762</v>
      </c>
      <c r="K38" s="29" t="s">
        <v>548</v>
      </c>
      <c r="L38" s="5" t="s">
        <v>549</v>
      </c>
      <c r="M38" s="5">
        <v>29946</v>
      </c>
      <c r="N38" s="29" t="s">
        <v>550</v>
      </c>
      <c r="O38" s="5" t="s">
        <v>551</v>
      </c>
      <c r="P38" s="5">
        <v>11169</v>
      </c>
      <c r="Q38" s="29" t="s">
        <v>552</v>
      </c>
      <c r="R38" s="5"/>
      <c r="S38" s="5"/>
      <c r="T38" s="29"/>
      <c r="U38" s="5"/>
      <c r="V38" s="5"/>
      <c r="W38" s="29"/>
      <c r="X38" s="5"/>
      <c r="Y38" s="5"/>
      <c r="Z38" s="29"/>
      <c r="AA38" s="5"/>
      <c r="AB38" s="5"/>
      <c r="AC38" s="29"/>
      <c r="AF38" s="29"/>
      <c r="AI38" s="38"/>
      <c r="AJ38" s="40"/>
      <c r="AK38" s="40"/>
      <c r="AL38" s="38"/>
    </row>
    <row r="39" spans="2:38" s="6" customFormat="1" ht="14.4" x14ac:dyDescent="0.3">
      <c r="B39" s="13">
        <v>37</v>
      </c>
      <c r="C39" s="18" t="s">
        <v>559</v>
      </c>
      <c r="D39" s="7" t="s">
        <v>560</v>
      </c>
      <c r="E39" s="30" t="s">
        <v>561</v>
      </c>
      <c r="F39" s="33" t="s">
        <v>572</v>
      </c>
      <c r="G39" s="34">
        <v>14374</v>
      </c>
      <c r="H39" s="29" t="s">
        <v>562</v>
      </c>
      <c r="I39" s="5" t="s">
        <v>563</v>
      </c>
      <c r="J39" s="5">
        <v>22140</v>
      </c>
      <c r="K39" s="29" t="s">
        <v>564</v>
      </c>
      <c r="L39" s="5" t="s">
        <v>565</v>
      </c>
      <c r="M39" s="5">
        <v>10010</v>
      </c>
      <c r="N39" s="29" t="s">
        <v>566</v>
      </c>
      <c r="O39" s="5" t="s">
        <v>567</v>
      </c>
      <c r="P39" s="5">
        <v>25810</v>
      </c>
      <c r="Q39" s="29" t="s">
        <v>568</v>
      </c>
      <c r="R39" s="5" t="s">
        <v>569</v>
      </c>
      <c r="S39" s="5">
        <v>17715</v>
      </c>
      <c r="T39" s="29" t="s">
        <v>570</v>
      </c>
      <c r="U39" s="5" t="s">
        <v>571</v>
      </c>
      <c r="V39" s="5">
        <v>11076</v>
      </c>
      <c r="W39" s="29" t="s">
        <v>742</v>
      </c>
      <c r="X39" s="5"/>
      <c r="Y39" s="5"/>
      <c r="Z39" s="29"/>
      <c r="AA39" s="5"/>
      <c r="AB39" s="5"/>
      <c r="AC39" s="29"/>
      <c r="AF39" s="29"/>
      <c r="AI39" s="38"/>
      <c r="AJ39" s="40"/>
      <c r="AK39" s="40"/>
      <c r="AL39" s="38"/>
    </row>
    <row r="40" spans="2:38" s="6" customFormat="1" ht="14.4" x14ac:dyDescent="0.3">
      <c r="B40" s="13">
        <v>38</v>
      </c>
      <c r="C40" s="18" t="s">
        <v>573</v>
      </c>
      <c r="D40" s="7" t="s">
        <v>574</v>
      </c>
      <c r="E40" s="30" t="s">
        <v>575</v>
      </c>
      <c r="F40" s="33" t="s">
        <v>576</v>
      </c>
      <c r="G40" s="34">
        <v>32511</v>
      </c>
      <c r="H40" s="29" t="s">
        <v>577</v>
      </c>
      <c r="I40" s="5" t="s">
        <v>578</v>
      </c>
      <c r="J40" s="5">
        <v>32522</v>
      </c>
      <c r="K40" s="29" t="s">
        <v>579</v>
      </c>
      <c r="L40" s="5" t="s">
        <v>580</v>
      </c>
      <c r="M40" s="5">
        <v>32514</v>
      </c>
      <c r="N40" s="29" t="s">
        <v>581</v>
      </c>
      <c r="O40" s="5" t="s">
        <v>582</v>
      </c>
      <c r="P40" s="5">
        <v>32513</v>
      </c>
      <c r="Q40" s="29" t="s">
        <v>583</v>
      </c>
      <c r="R40" s="5" t="s">
        <v>584</v>
      </c>
      <c r="S40" s="5">
        <v>32512</v>
      </c>
      <c r="T40" s="29" t="s">
        <v>585</v>
      </c>
      <c r="U40" s="5" t="s">
        <v>586</v>
      </c>
      <c r="V40" s="5">
        <v>29710</v>
      </c>
      <c r="W40" s="29" t="s">
        <v>587</v>
      </c>
      <c r="X40" s="5" t="s">
        <v>588</v>
      </c>
      <c r="Y40" s="5">
        <v>32778</v>
      </c>
      <c r="Z40" s="29" t="s">
        <v>589</v>
      </c>
      <c r="AA40" s="5"/>
      <c r="AB40" s="5"/>
      <c r="AC40" s="29"/>
      <c r="AF40" s="29"/>
      <c r="AI40" s="38"/>
      <c r="AJ40" s="40"/>
      <c r="AK40" s="40"/>
      <c r="AL40" s="38"/>
    </row>
    <row r="41" spans="2:38" s="6" customFormat="1" ht="14.4" x14ac:dyDescent="0.3">
      <c r="B41" s="13">
        <v>39</v>
      </c>
      <c r="C41" s="18" t="s">
        <v>590</v>
      </c>
      <c r="D41" s="7" t="s">
        <v>591</v>
      </c>
      <c r="E41" s="30" t="s">
        <v>592</v>
      </c>
      <c r="F41" s="33" t="s">
        <v>593</v>
      </c>
      <c r="G41" s="34">
        <v>12288</v>
      </c>
      <c r="H41" s="29" t="s">
        <v>594</v>
      </c>
      <c r="I41" s="5" t="s">
        <v>595</v>
      </c>
      <c r="J41" s="5">
        <v>10571</v>
      </c>
      <c r="K41" s="29" t="s">
        <v>596</v>
      </c>
      <c r="L41" s="5" t="s">
        <v>597</v>
      </c>
      <c r="M41" s="5">
        <v>10572</v>
      </c>
      <c r="N41" s="29" t="s">
        <v>598</v>
      </c>
      <c r="O41" s="5" t="s">
        <v>599</v>
      </c>
      <c r="P41" s="5">
        <v>25811</v>
      </c>
      <c r="Q41" s="29" t="s">
        <v>600</v>
      </c>
      <c r="R41" s="5" t="s">
        <v>601</v>
      </c>
      <c r="S41" s="5">
        <v>25401</v>
      </c>
      <c r="T41" s="29" t="s">
        <v>602</v>
      </c>
      <c r="U41" s="5"/>
      <c r="V41" s="5"/>
      <c r="W41" s="29"/>
      <c r="X41" s="5"/>
      <c r="Y41" s="5"/>
      <c r="Z41" s="29"/>
      <c r="AA41" s="5"/>
      <c r="AB41" s="5"/>
      <c r="AC41" s="29"/>
      <c r="AF41" s="29"/>
      <c r="AI41" s="38"/>
      <c r="AJ41" s="40"/>
      <c r="AK41" s="40"/>
      <c r="AL41" s="38"/>
    </row>
    <row r="42" spans="2:38" s="6" customFormat="1" ht="14.4" x14ac:dyDescent="0.3">
      <c r="B42" s="13">
        <v>40</v>
      </c>
      <c r="C42" s="18" t="s">
        <v>603</v>
      </c>
      <c r="D42" s="7" t="s">
        <v>604</v>
      </c>
      <c r="E42" s="30" t="s">
        <v>605</v>
      </c>
      <c r="F42" s="33" t="s">
        <v>606</v>
      </c>
      <c r="G42" s="34">
        <v>10171</v>
      </c>
      <c r="H42" s="29" t="s">
        <v>607</v>
      </c>
      <c r="I42" s="5" t="s">
        <v>608</v>
      </c>
      <c r="J42" s="5">
        <v>21498</v>
      </c>
      <c r="K42" s="29" t="s">
        <v>609</v>
      </c>
      <c r="L42" s="5" t="s">
        <v>610</v>
      </c>
      <c r="M42" s="5">
        <v>31535</v>
      </c>
      <c r="N42" s="29" t="s">
        <v>611</v>
      </c>
      <c r="O42" s="5" t="s">
        <v>612</v>
      </c>
      <c r="P42" s="5">
        <v>21857</v>
      </c>
      <c r="Q42" s="29" t="s">
        <v>613</v>
      </c>
      <c r="R42" s="5"/>
      <c r="S42" s="5"/>
      <c r="T42" s="29"/>
      <c r="U42" s="5"/>
      <c r="V42" s="5"/>
      <c r="W42" s="29"/>
      <c r="X42" s="5"/>
      <c r="Y42" s="5"/>
      <c r="Z42" s="29"/>
      <c r="AA42" s="5"/>
      <c r="AB42" s="5"/>
      <c r="AC42" s="29"/>
      <c r="AF42" s="29"/>
      <c r="AI42" s="38"/>
      <c r="AJ42" s="40"/>
      <c r="AK42" s="40"/>
      <c r="AL42" s="38"/>
    </row>
    <row r="43" spans="2:38" s="6" customFormat="1" ht="14.4" x14ac:dyDescent="0.3">
      <c r="B43" s="13">
        <v>41</v>
      </c>
      <c r="C43" s="18" t="s">
        <v>615</v>
      </c>
      <c r="D43" s="7" t="s">
        <v>616</v>
      </c>
      <c r="E43" s="30" t="s">
        <v>617</v>
      </c>
      <c r="F43" s="33" t="s">
        <v>618</v>
      </c>
      <c r="G43" s="34">
        <v>30557</v>
      </c>
      <c r="H43" s="29" t="s">
        <v>619</v>
      </c>
      <c r="I43" s="5" t="s">
        <v>620</v>
      </c>
      <c r="J43" s="5">
        <v>32147</v>
      </c>
      <c r="K43" s="29" t="s">
        <v>621</v>
      </c>
      <c r="L43" s="5" t="s">
        <v>622</v>
      </c>
      <c r="M43" s="5">
        <v>32142</v>
      </c>
      <c r="N43" s="29" t="s">
        <v>623</v>
      </c>
      <c r="O43" s="5" t="s">
        <v>624</v>
      </c>
      <c r="P43" s="5">
        <v>32774</v>
      </c>
      <c r="Q43" s="29" t="s">
        <v>625</v>
      </c>
      <c r="R43" s="5" t="s">
        <v>626</v>
      </c>
      <c r="S43" s="5">
        <v>31748</v>
      </c>
      <c r="T43" s="29" t="s">
        <v>627</v>
      </c>
      <c r="U43" s="5" t="s">
        <v>628</v>
      </c>
      <c r="V43" s="5">
        <v>31405</v>
      </c>
      <c r="W43" s="29" t="s">
        <v>629</v>
      </c>
      <c r="X43" s="5" t="s">
        <v>630</v>
      </c>
      <c r="Y43" s="5">
        <v>32071</v>
      </c>
      <c r="Z43" s="29" t="s">
        <v>631</v>
      </c>
      <c r="AA43" s="5" t="s">
        <v>632</v>
      </c>
      <c r="AB43" s="5">
        <v>22895</v>
      </c>
      <c r="AC43" s="29" t="s">
        <v>633</v>
      </c>
      <c r="AF43" s="29"/>
      <c r="AI43" s="38"/>
      <c r="AJ43" s="40"/>
      <c r="AK43" s="40"/>
      <c r="AL43" s="38"/>
    </row>
    <row r="44" spans="2:38" s="6" customFormat="1" ht="14.4" x14ac:dyDescent="0.3">
      <c r="B44" s="13">
        <v>42</v>
      </c>
      <c r="C44" s="18" t="s">
        <v>634</v>
      </c>
      <c r="D44" s="7" t="s">
        <v>635</v>
      </c>
      <c r="E44" s="30" t="s">
        <v>636</v>
      </c>
      <c r="F44" s="33" t="s">
        <v>637</v>
      </c>
      <c r="G44" s="34">
        <v>25692</v>
      </c>
      <c r="H44" s="29" t="s">
        <v>638</v>
      </c>
      <c r="I44" s="5" t="s">
        <v>639</v>
      </c>
      <c r="J44" s="5">
        <v>31375</v>
      </c>
      <c r="K44" s="29" t="s">
        <v>640</v>
      </c>
      <c r="L44" s="5" t="s">
        <v>641</v>
      </c>
      <c r="M44" s="5">
        <v>18739</v>
      </c>
      <c r="N44" s="29" t="s">
        <v>642</v>
      </c>
      <c r="O44" s="5" t="s">
        <v>643</v>
      </c>
      <c r="P44" s="5">
        <v>23569</v>
      </c>
      <c r="Q44" s="29" t="s">
        <v>644</v>
      </c>
      <c r="R44" s="5" t="s">
        <v>645</v>
      </c>
      <c r="S44" s="5">
        <v>21069</v>
      </c>
      <c r="T44" s="29" t="s">
        <v>646</v>
      </c>
      <c r="U44" s="5" t="s">
        <v>647</v>
      </c>
      <c r="V44" s="5">
        <v>17203</v>
      </c>
      <c r="W44" s="29" t="s">
        <v>648</v>
      </c>
      <c r="X44" s="5"/>
      <c r="Y44" s="5"/>
      <c r="Z44" s="29"/>
      <c r="AA44" s="12"/>
      <c r="AB44" s="5"/>
      <c r="AC44" s="29"/>
      <c r="AF44" s="29"/>
      <c r="AI44" s="38"/>
      <c r="AJ44" s="40"/>
      <c r="AK44" s="40"/>
      <c r="AL44" s="38"/>
    </row>
    <row r="45" spans="2:38" s="6" customFormat="1" ht="14.4" x14ac:dyDescent="0.3">
      <c r="B45" s="13">
        <v>43</v>
      </c>
      <c r="C45" s="18" t="s">
        <v>649</v>
      </c>
      <c r="D45" s="7" t="s">
        <v>650</v>
      </c>
      <c r="E45" s="30" t="s">
        <v>651</v>
      </c>
      <c r="F45" s="33" t="s">
        <v>652</v>
      </c>
      <c r="G45" s="34">
        <v>24108</v>
      </c>
      <c r="H45" s="29" t="s">
        <v>653</v>
      </c>
      <c r="I45" s="5" t="s">
        <v>654</v>
      </c>
      <c r="J45" s="5">
        <v>32642</v>
      </c>
      <c r="K45" s="29" t="s">
        <v>655</v>
      </c>
      <c r="L45" s="5" t="s">
        <v>656</v>
      </c>
      <c r="M45" s="5">
        <v>32638</v>
      </c>
      <c r="N45" s="29" t="s">
        <v>657</v>
      </c>
      <c r="O45" s="5" t="s">
        <v>658</v>
      </c>
      <c r="P45" s="5">
        <v>25686</v>
      </c>
      <c r="Q45" s="29" t="s">
        <v>659</v>
      </c>
      <c r="R45" s="5" t="s">
        <v>685</v>
      </c>
      <c r="S45" s="5">
        <v>31506</v>
      </c>
      <c r="T45" s="29" t="s">
        <v>686</v>
      </c>
      <c r="U45" s="5"/>
      <c r="V45" s="5"/>
      <c r="W45" s="29"/>
      <c r="X45" s="5"/>
      <c r="Y45" s="5"/>
      <c r="Z45" s="29"/>
      <c r="AA45" s="5"/>
      <c r="AB45" s="5"/>
      <c r="AC45" s="29"/>
      <c r="AF45" s="29"/>
      <c r="AI45" s="38"/>
      <c r="AJ45" s="40"/>
      <c r="AK45" s="40"/>
      <c r="AL45" s="38"/>
    </row>
    <row r="46" spans="2:38" s="6" customFormat="1" ht="14.4" x14ac:dyDescent="0.3">
      <c r="B46" s="13">
        <v>44</v>
      </c>
      <c r="C46" s="18" t="s">
        <v>660</v>
      </c>
      <c r="D46" s="7" t="s">
        <v>662</v>
      </c>
      <c r="E46" s="30" t="s">
        <v>663</v>
      </c>
      <c r="F46" s="33" t="s">
        <v>664</v>
      </c>
      <c r="G46" s="34">
        <v>27737</v>
      </c>
      <c r="H46" s="29" t="s">
        <v>665</v>
      </c>
      <c r="I46" s="5" t="s">
        <v>666</v>
      </c>
      <c r="J46" s="5">
        <v>25148</v>
      </c>
      <c r="K46" s="29" t="s">
        <v>667</v>
      </c>
      <c r="L46" s="5" t="s">
        <v>668</v>
      </c>
      <c r="M46" s="5">
        <v>29970</v>
      </c>
      <c r="N46" s="29" t="s">
        <v>669</v>
      </c>
      <c r="O46" s="5" t="s">
        <v>670</v>
      </c>
      <c r="P46" s="5">
        <v>25565</v>
      </c>
      <c r="Q46" s="29" t="s">
        <v>671</v>
      </c>
      <c r="R46" s="5"/>
      <c r="S46" s="5"/>
      <c r="T46" s="29"/>
      <c r="U46" s="5"/>
      <c r="V46" s="5"/>
      <c r="W46" s="29"/>
      <c r="X46" s="5"/>
      <c r="Y46" s="5"/>
      <c r="Z46" s="29"/>
      <c r="AA46" s="12"/>
      <c r="AB46" s="5"/>
      <c r="AC46" s="29"/>
      <c r="AF46" s="29"/>
      <c r="AI46" s="38"/>
      <c r="AJ46" s="40"/>
      <c r="AK46" s="40"/>
      <c r="AL46" s="38"/>
    </row>
    <row r="47" spans="2:38" s="6" customFormat="1" ht="14.4" x14ac:dyDescent="0.3">
      <c r="B47" s="13">
        <v>45</v>
      </c>
      <c r="C47" s="18" t="s">
        <v>661</v>
      </c>
      <c r="D47" s="7" t="s">
        <v>672</v>
      </c>
      <c r="E47" s="30" t="s">
        <v>673</v>
      </c>
      <c r="F47" s="33" t="s">
        <v>674</v>
      </c>
      <c r="G47" s="34">
        <v>27127</v>
      </c>
      <c r="H47" s="29" t="s">
        <v>675</v>
      </c>
      <c r="I47" s="5" t="s">
        <v>676</v>
      </c>
      <c r="J47" s="5">
        <v>27733</v>
      </c>
      <c r="K47" s="29" t="s">
        <v>677</v>
      </c>
      <c r="L47" s="5" t="s">
        <v>678</v>
      </c>
      <c r="M47" s="5">
        <v>32285</v>
      </c>
      <c r="N47" s="29" t="s">
        <v>679</v>
      </c>
      <c r="O47" s="5" t="s">
        <v>680</v>
      </c>
      <c r="P47" s="5">
        <v>14172</v>
      </c>
      <c r="Q47" s="29" t="s">
        <v>681</v>
      </c>
      <c r="R47" s="5"/>
      <c r="S47" s="5"/>
      <c r="T47" s="29"/>
      <c r="U47" s="5"/>
      <c r="V47" s="5"/>
      <c r="W47" s="29"/>
      <c r="X47" s="5"/>
      <c r="Y47" s="5"/>
      <c r="Z47" s="29"/>
      <c r="AA47" s="12"/>
      <c r="AB47" s="5"/>
      <c r="AC47" s="29"/>
      <c r="AF47" s="29"/>
      <c r="AI47" s="38"/>
      <c r="AJ47" s="40"/>
      <c r="AK47" s="40"/>
      <c r="AL47" s="38"/>
    </row>
    <row r="48" spans="2:38" ht="14.4" x14ac:dyDescent="0.3">
      <c r="B48" s="52">
        <v>46</v>
      </c>
      <c r="C48" s="18" t="s">
        <v>687</v>
      </c>
      <c r="D48" s="53" t="s">
        <v>688</v>
      </c>
      <c r="E48" s="54" t="s">
        <v>689</v>
      </c>
      <c r="F48" s="55" t="s">
        <v>690</v>
      </c>
      <c r="G48" s="34">
        <v>11498</v>
      </c>
      <c r="H48" s="56" t="s">
        <v>691</v>
      </c>
      <c r="I48" s="54" t="s">
        <v>692</v>
      </c>
      <c r="J48" s="5">
        <v>27433</v>
      </c>
      <c r="K48" s="56" t="s">
        <v>693</v>
      </c>
      <c r="L48" s="54" t="s">
        <v>694</v>
      </c>
      <c r="M48" s="5">
        <v>21889</v>
      </c>
      <c r="N48" s="56" t="s">
        <v>695</v>
      </c>
      <c r="O48" s="54" t="s">
        <v>696</v>
      </c>
      <c r="P48" s="5">
        <v>18428</v>
      </c>
      <c r="Q48" s="56" t="s">
        <v>697</v>
      </c>
      <c r="R48" s="54" t="s">
        <v>698</v>
      </c>
      <c r="S48" s="5">
        <v>26824</v>
      </c>
      <c r="T48" s="56" t="s">
        <v>699</v>
      </c>
      <c r="U48" s="54" t="s">
        <v>700</v>
      </c>
      <c r="V48" s="5">
        <v>20566</v>
      </c>
      <c r="W48" s="56" t="s">
        <v>701</v>
      </c>
      <c r="X48" s="54"/>
      <c r="Y48" s="54"/>
      <c r="Z48" s="56"/>
      <c r="AA48" s="54"/>
      <c r="AB48" s="54"/>
      <c r="AC48" s="54"/>
    </row>
  </sheetData>
  <phoneticPr fontId="1" type="noConversion"/>
  <hyperlinks>
    <hyperlink ref="F3" r:id="rId1" xr:uid="{2062C27B-83FF-4091-B869-F40B456378A0}"/>
    <hyperlink ref="F4" r:id="rId2" display="mailto:geert.christiaens2@telenet.be" xr:uid="{E42F95D9-4A96-45DE-92F4-3A6165CD2A67}"/>
    <hyperlink ref="F5" r:id="rId3" xr:uid="{6812FD6C-28DA-4019-A92F-D0E0A9C4C009}"/>
    <hyperlink ref="F6" r:id="rId4" xr:uid="{6CA9B052-78CA-49E6-971A-57BE9FBCEFCF}"/>
    <hyperlink ref="F7" r:id="rId5" xr:uid="{3A0F9CF9-EEE9-4E8C-BBE1-BEBB35B49374}"/>
    <hyperlink ref="F8" r:id="rId6" xr:uid="{D4813F17-C064-486A-B335-AF40E470EC20}"/>
    <hyperlink ref="F9" r:id="rId7" xr:uid="{80F1176B-51FF-4462-8DE6-04F0B761A6DD}"/>
    <hyperlink ref="F10" r:id="rId8" xr:uid="{94253B7C-9FEA-422E-906E-DBCE436BB1CF}"/>
    <hyperlink ref="F11" r:id="rId9" xr:uid="{7D5EFBB8-39D6-4C1A-AC75-669FB7282F06}"/>
    <hyperlink ref="F12" r:id="rId10" xr:uid="{8138BB32-ACF9-49B8-878C-1507FB1C021F}"/>
    <hyperlink ref="F13" r:id="rId11" xr:uid="{A69AD99B-5C02-408A-BDFE-78A7428AF155}"/>
    <hyperlink ref="F14" r:id="rId12" xr:uid="{627EE15C-4ABA-4E80-AA16-BB2EAD5F08DD}"/>
    <hyperlink ref="F15" r:id="rId13" xr:uid="{4E2C41CA-AD4A-4FD3-A28D-744F647331BA}"/>
    <hyperlink ref="F16" r:id="rId14" xr:uid="{19631231-F420-4E9F-9E4A-833E32503858}"/>
    <hyperlink ref="F17" r:id="rId15" xr:uid="{ED120AD8-A869-4A8F-A83E-B08004857118}"/>
    <hyperlink ref="F18" r:id="rId16" xr:uid="{94E398A3-8E6E-4FD2-A3A5-0E8EC39A6DCC}"/>
    <hyperlink ref="F19" r:id="rId17" xr:uid="{000B0E4A-3B48-4D4D-951C-413F819568A0}"/>
    <hyperlink ref="F20" r:id="rId18" xr:uid="{F360AB76-8A89-4FBF-9EDB-0AD0E2DC2A20}"/>
    <hyperlink ref="F21" r:id="rId19" xr:uid="{4015DAA7-A675-4B5E-8FBF-BB706A900918}"/>
    <hyperlink ref="F22" r:id="rId20" xr:uid="{FDCCAD1E-FA8E-4A4D-9D4D-42206E971B93}"/>
    <hyperlink ref="F23" r:id="rId21" xr:uid="{D178AE9D-0F83-4D67-A78F-2AA204BF41A0}"/>
    <hyperlink ref="F24" r:id="rId22" xr:uid="{A1129589-47E9-4706-94F1-5D12150026C0}"/>
    <hyperlink ref="F25" r:id="rId23" xr:uid="{4F63FCFF-6E3A-4BF5-9562-162BE8F58E7D}"/>
    <hyperlink ref="F26" r:id="rId24" xr:uid="{80B7171E-A1CA-4C75-9CE3-642100BA7ADE}"/>
    <hyperlink ref="F27" r:id="rId25" xr:uid="{DF699633-80CC-4862-9962-983E573E7782}"/>
    <hyperlink ref="F28" r:id="rId26" xr:uid="{0B65EE9A-24B9-4A7C-B9D1-A8A405053962}"/>
    <hyperlink ref="F29" r:id="rId27" xr:uid="{C03BCB24-1F58-4FE5-B3B9-DFB426447D4A}"/>
    <hyperlink ref="F30" r:id="rId28" xr:uid="{7BE2950A-0B66-44F9-9D79-69C7B086849D}"/>
    <hyperlink ref="F31" r:id="rId29" xr:uid="{24950E45-798E-402E-AEB3-4EBFCAD716E8}"/>
    <hyperlink ref="F32" r:id="rId30" xr:uid="{1EFC5BD7-A729-409A-98CF-C08B1C6E0461}"/>
    <hyperlink ref="F33" r:id="rId31" xr:uid="{D34BF888-7D40-4143-9546-6BCBF9ED3BC2}"/>
    <hyperlink ref="F34" r:id="rId32" xr:uid="{4251D91C-413D-4D5A-AC35-C82B59EBCF57}"/>
    <hyperlink ref="F35" r:id="rId33" xr:uid="{515A62FF-6E67-4C99-BC99-E4F89A3E2BE9}"/>
    <hyperlink ref="F36" r:id="rId34" xr:uid="{4D8393AC-EB4E-4375-9497-FEE69D8610CC}"/>
    <hyperlink ref="F37" r:id="rId35" xr:uid="{C8E27365-93A1-49A2-88A8-ACDD5D457193}"/>
    <hyperlink ref="F38" r:id="rId36" xr:uid="{D7673ED2-481F-467C-85EC-2424D8E01120}"/>
    <hyperlink ref="F39" r:id="rId37" xr:uid="{F96E8444-0048-48C6-AD73-D7BC279EBAA0}"/>
    <hyperlink ref="F40" r:id="rId38" xr:uid="{FA0066DA-ED86-44AB-B30A-3907F178BB2A}"/>
    <hyperlink ref="F41" r:id="rId39" xr:uid="{8C2B0C82-5206-4B7C-9C8C-CDBB959BDAEB}"/>
    <hyperlink ref="F42" r:id="rId40" xr:uid="{D317AC03-8C18-491D-B777-3572C620E4A4}"/>
    <hyperlink ref="F43" r:id="rId41" xr:uid="{8234BC18-F4C5-4C5D-B1D1-065AB4B69A8B}"/>
    <hyperlink ref="F44" r:id="rId42" xr:uid="{C8755E02-50A9-4F24-BC13-254791DBB4B1}"/>
    <hyperlink ref="F45" r:id="rId43" xr:uid="{A0F17CCC-6B83-493C-A873-FA8069526AD6}"/>
    <hyperlink ref="F46" r:id="rId44" xr:uid="{93024BE1-F551-48F2-84F0-5E142395645A}"/>
    <hyperlink ref="F47" r:id="rId45" xr:uid="{3A1E6D25-C909-4A62-A908-9345DC234DC2}"/>
    <hyperlink ref="F48" r:id="rId46" xr:uid="{3E1EA2C4-BA81-4340-8BC0-44DAD64CBF62}"/>
  </hyperlinks>
  <pageMargins left="0.7" right="0.7" top="0.75" bottom="0.75" header="0.3" footer="0.3"/>
  <pageSetup paperSize="9" scale="59" orientation="landscape" r:id="rId47"/>
  <tableParts count="1">
    <tablePart r:id="rId4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BA41ED-C67E-48FE-8119-2316ED28F225}">
  <dimension ref="B2:U49"/>
  <sheetViews>
    <sheetView tabSelected="1" workbookViewId="0">
      <selection activeCell="B1" sqref="B1"/>
    </sheetView>
  </sheetViews>
  <sheetFormatPr defaultRowHeight="14.4" x14ac:dyDescent="0.3"/>
  <cols>
    <col min="1" max="1" width="3.88671875" customWidth="1"/>
    <col min="2" max="2" width="8.44140625" bestFit="1" customWidth="1"/>
    <col min="3" max="3" width="8.88671875" style="2" bestFit="1" customWidth="1"/>
    <col min="4" max="4" width="28.6640625" style="2" customWidth="1"/>
    <col min="5" max="5" width="11.44140625" bestFit="1" customWidth="1"/>
    <col min="6" max="10" width="3.109375" style="2" bestFit="1" customWidth="1"/>
    <col min="11" max="11" width="3.88671875" style="2" bestFit="1" customWidth="1"/>
    <col min="12" max="12" width="4.109375" style="2" bestFit="1" customWidth="1"/>
    <col min="13" max="13" width="3.6640625" style="2" bestFit="1" customWidth="1"/>
    <col min="14" max="21" width="11" bestFit="1" customWidth="1"/>
    <col min="23" max="23" width="11.5546875" customWidth="1"/>
  </cols>
  <sheetData>
    <row r="2" spans="2:21" ht="15" thickBot="1" x14ac:dyDescent="0.35"/>
    <row r="3" spans="2:21" s="9" customFormat="1" ht="15.6" x14ac:dyDescent="0.3">
      <c r="B3" s="73" t="s">
        <v>727</v>
      </c>
      <c r="C3" s="64" t="s">
        <v>9</v>
      </c>
      <c r="D3" s="64" t="s">
        <v>10</v>
      </c>
      <c r="E3" s="100" t="s">
        <v>729</v>
      </c>
      <c r="F3" s="64" t="s">
        <v>719</v>
      </c>
      <c r="G3" s="64" t="s">
        <v>720</v>
      </c>
      <c r="H3" s="64" t="s">
        <v>721</v>
      </c>
      <c r="I3" s="64" t="s">
        <v>722</v>
      </c>
      <c r="J3" s="64" t="s">
        <v>723</v>
      </c>
      <c r="K3" s="64" t="s">
        <v>731</v>
      </c>
      <c r="L3" s="64" t="s">
        <v>732</v>
      </c>
      <c r="M3" s="64" t="s">
        <v>730</v>
      </c>
      <c r="N3" s="10" t="s">
        <v>11</v>
      </c>
      <c r="O3" s="64" t="s">
        <v>12</v>
      </c>
      <c r="P3" s="64" t="s">
        <v>13</v>
      </c>
      <c r="Q3" s="64" t="s">
        <v>14</v>
      </c>
      <c r="R3" s="64" t="s">
        <v>15</v>
      </c>
      <c r="S3" s="64" t="s">
        <v>734</v>
      </c>
      <c r="T3" s="64" t="s">
        <v>735</v>
      </c>
      <c r="U3" s="26" t="s">
        <v>733</v>
      </c>
    </row>
    <row r="4" spans="2:21" x14ac:dyDescent="0.3">
      <c r="B4" s="71">
        <v>1</v>
      </c>
      <c r="C4" s="91">
        <v>16</v>
      </c>
      <c r="D4" s="92" t="str">
        <f xml:space="preserve"> VLOOKUP(TBL_Rank[[#This Row],[Team Nr]],TBL_Team[],2,FALSE)</f>
        <v>Waasmunster 1</v>
      </c>
      <c r="E4" s="101"/>
      <c r="F4" s="68">
        <f xml:space="preserve"> IFERROR(VLOOKUP(TBL_Rank[[#This Row],[Team Nr]],TBL_S1[[Nr 1]:[Nr 2]],5,FALSE), INDEX(TBL_S1[Nr 1], MATCH(TBL_Rank[[#This Row],[Team Nr]],TBL_S1[Nr 2],0)))</f>
        <v>38</v>
      </c>
      <c r="G4" s="67">
        <f xml:space="preserve"> IFERROR(VLOOKUP(TBL_Rank[[#This Row],[Team Nr]],TBL_S2[[Nr 1]:[Nr 2]],5,FALSE), INDEX(TBL_S2[Nr 1], MATCH(TBL_Rank[[#This Row],[Team Nr]],TBL_S2[Nr 2],0)))</f>
        <v>32</v>
      </c>
      <c r="H4" s="68">
        <f xml:space="preserve"> IFERROR(VLOOKUP(TBL_Rank[[#This Row],[Team Nr]],TBL_S3[[Nr 1]:[Nr 2]],5,FALSE), INDEX(TBL_S3[Nr 1], MATCH(TBL_Rank[[#This Row],[Team Nr]],TBL_S3[Nr 2],0)))</f>
        <v>46</v>
      </c>
      <c r="I4" s="67">
        <f xml:space="preserve"> IFERROR(VLOOKUP(TBL_Rank[[#This Row],[Team Nr]],TBL_S4[[Nr 1]:[Nr 2]],5,FALSE), INDEX(TBL_S4[Nr 1], MATCH(TBL_Rank[[#This Row],[Team Nr]],TBL_S4[Nr 2],0)))</f>
        <v>28</v>
      </c>
      <c r="J4" s="67">
        <f xml:space="preserve"> IFERROR(VLOOKUP(TBL_Rank[[#This Row],[Team Nr]],TBL_S5[[Nr 1]:[Nr 2]],5,FALSE), INDEX(TBL_S5[Nr 1], MATCH(TBL_Rank[[#This Row],[Team Nr]],TBL_S5[Nr 2],0)))</f>
        <v>22</v>
      </c>
      <c r="K4" s="68" t="s">
        <v>738</v>
      </c>
      <c r="L4" s="67" t="s">
        <v>743</v>
      </c>
      <c r="M4" s="68" t="s">
        <v>749</v>
      </c>
      <c r="N4" s="96">
        <f xml:space="preserve"> IFERROR(VLOOKUP(TBL_Rank[[#This Row],[Team Naam]],TBL_S1[["Thuis" ploeg (1)]:[VP 2]],8,FALSE), VLOOKUP(TBL_Rank[[#This Row],[Team Naam]],TBL_S1[["Uit" ploeg (2)]:[VP 2]],7,FALSE))</f>
        <v>14.39</v>
      </c>
      <c r="O4" s="23">
        <f xml:space="preserve"> IFERROR(VLOOKUP(TBL_Rank[[#This Row],[Team Naam]],TBL_S2[["Thuis" ploeg (1)]:[VP 2]],8,FALSE), VLOOKUP(TBL_Rank[[#This Row],[Team Naam]],TBL_S2[["Uit" ploeg (2)]:[VP 2]],7,FALSE))</f>
        <v>17.190000000000001</v>
      </c>
      <c r="P4" s="23">
        <f xml:space="preserve"> IFERROR(VLOOKUP(TBL_Rank[[#This Row],[Team Naam]],TBL_S3[["Thuis" ploeg (1)]:[VP 2]],8,FALSE), VLOOKUP(TBL_Rank[[#This Row],[Team Naam]],TBL_S3[["Uit" ploeg (2)]:[VP 2]],7,FALSE))</f>
        <v>16.38</v>
      </c>
      <c r="Q4" s="23">
        <f xml:space="preserve"> IFERROR(VLOOKUP(TBL_Rank[[#This Row],[Team Naam]],TBL_S4[["Thuis" ploeg (1)]:[VP 2]],8,FALSE), VLOOKUP(TBL_Rank[[#This Row],[Team Naam]],TBL_S4[["Uit" ploeg (2)]:[VP 2]],7,FALSE))</f>
        <v>15.45</v>
      </c>
      <c r="R4" s="23">
        <f xml:space="preserve"> IFERROR(VLOOKUP(TBL_Rank[[#This Row],[Team Naam]],TBL_S5[["Thuis" ploeg (1)]:[VP 2]],8,FALSE), VLOOKUP(TBL_Rank[[#This Row],[Team Naam]],TBL_S5[["Uit" ploeg (2)]:[VP 2]],7,FALSE))</f>
        <v>14.58</v>
      </c>
      <c r="S4" s="23" t="s">
        <v>746</v>
      </c>
      <c r="T4" s="23" t="s">
        <v>748</v>
      </c>
      <c r="U4" s="104" t="s">
        <v>755</v>
      </c>
    </row>
    <row r="5" spans="2:21" x14ac:dyDescent="0.3">
      <c r="B5" s="71">
        <v>2</v>
      </c>
      <c r="C5" s="91">
        <v>22</v>
      </c>
      <c r="D5" s="92" t="str">
        <f xml:space="preserve"> VLOOKUP(TBL_Rank[[#This Row],[Team Nr]],TBL_Team[],2,FALSE)</f>
        <v>Roeselare 2</v>
      </c>
      <c r="E5" s="102"/>
      <c r="F5" s="68">
        <f xml:space="preserve"> IFERROR(VLOOKUP(TBL_Rank[[#This Row],[Team Nr]],TBL_S1[[Nr 1]:[Nr 2]],5,FALSE), INDEX(TBL_S1[Nr 1], MATCH(TBL_Rank[[#This Row],[Team Nr]],TBL_S1[Nr 2],0)))</f>
        <v>30</v>
      </c>
      <c r="G5" s="67">
        <f xml:space="preserve"> IFERROR(VLOOKUP(TBL_Rank[[#This Row],[Team Nr]],TBL_S2[[Nr 1]:[Nr 2]],5,FALSE), INDEX(TBL_S2[Nr 1], MATCH(TBL_Rank[[#This Row],[Team Nr]],TBL_S2[Nr 2],0)))</f>
        <v>40</v>
      </c>
      <c r="H5" s="68">
        <f xml:space="preserve"> IFERROR(VLOOKUP(TBL_Rank[[#This Row],[Team Nr]],TBL_S3[[Nr 1]:[Nr 2]],5,FALSE), INDEX(TBL_S3[Nr 1], MATCH(TBL_Rank[[#This Row],[Team Nr]],TBL_S3[Nr 2],0)))</f>
        <v>33</v>
      </c>
      <c r="I5" s="67">
        <f xml:space="preserve"> IFERROR(VLOOKUP(TBL_Rank[[#This Row],[Team Nr]],TBL_S4[[Nr 1]:[Nr 2]],5,FALSE), INDEX(TBL_S4[Nr 1], MATCH(TBL_Rank[[#This Row],[Team Nr]],TBL_S4[Nr 2],0)))</f>
        <v>35</v>
      </c>
      <c r="J5" s="67">
        <f xml:space="preserve"> IFERROR(VLOOKUP(TBL_Rank[[#This Row],[Team Nr]],TBL_S5[[Nr 1]:[Nr 2]],5,FALSE), INDEX(TBL_S5[Nr 1], MATCH(TBL_Rank[[#This Row],[Team Nr]],TBL_S5[Nr 2],0)))</f>
        <v>16</v>
      </c>
      <c r="K5" s="68" t="s">
        <v>739</v>
      </c>
      <c r="L5" s="67" t="s">
        <v>744</v>
      </c>
      <c r="M5" s="68" t="s">
        <v>749</v>
      </c>
      <c r="N5" s="97">
        <f xml:space="preserve"> IFERROR(VLOOKUP(TBL_Rank[[#This Row],[Team Naam]],TBL_S1[["Thuis" ploeg (1)]:[VP 2]],8,FALSE), VLOOKUP(TBL_Rank[[#This Row],[Team Naam]],TBL_S1[["Uit" ploeg (2)]:[VP 2]],7,FALSE))</f>
        <v>10.28</v>
      </c>
      <c r="O5" s="57">
        <f xml:space="preserve"> IFERROR(VLOOKUP(TBL_Rank[[#This Row],[Team Naam]],TBL_S2[["Thuis" ploeg (1)]:[VP 2]],8,FALSE), VLOOKUP(TBL_Rank[[#This Row],[Team Naam]],TBL_S2[["Uit" ploeg (2)]:[VP 2]],7,FALSE))</f>
        <v>14.39</v>
      </c>
      <c r="P5" s="57">
        <f xml:space="preserve"> IFERROR(VLOOKUP(TBL_Rank[[#This Row],[Team Naam]],TBL_S3[["Thuis" ploeg (1)]:[VP 2]],8,FALSE), VLOOKUP(TBL_Rank[[#This Row],[Team Naam]],TBL_S3[["Uit" ploeg (2)]:[VP 2]],7,FALSE))</f>
        <v>17.559999999999999</v>
      </c>
      <c r="Q5" s="57">
        <f xml:space="preserve"> IFERROR(VLOOKUP(TBL_Rank[[#This Row],[Team Naam]],TBL_S4[["Thuis" ploeg (1)]:[VP 2]],8,FALSE), VLOOKUP(TBL_Rank[[#This Row],[Team Naam]],TBL_S4[["Uit" ploeg (2)]:[VP 2]],7,FALSE))</f>
        <v>17.32</v>
      </c>
      <c r="R5" s="57">
        <f xml:space="preserve"> IFERROR(VLOOKUP(TBL_Rank[[#This Row],[Team Naam]],TBL_S5[["Thuis" ploeg (1)]:[VP 2]],8,FALSE), VLOOKUP(TBL_Rank[[#This Row],[Team Naam]],TBL_S5[["Uit" ploeg (2)]:[VP 2]],7,FALSE))</f>
        <v>5.42</v>
      </c>
      <c r="S5" s="57" t="s">
        <v>746</v>
      </c>
      <c r="T5" s="57" t="s">
        <v>748</v>
      </c>
      <c r="U5" s="75" t="s">
        <v>756</v>
      </c>
    </row>
    <row r="6" spans="2:21" x14ac:dyDescent="0.3">
      <c r="B6" s="71">
        <v>3</v>
      </c>
      <c r="C6" s="91">
        <v>32</v>
      </c>
      <c r="D6" s="92" t="str">
        <f xml:space="preserve"> VLOOKUP(TBL_Rank[[#This Row],[Team Nr]],TBL_Team[],2,FALSE)</f>
        <v>Forum 3</v>
      </c>
      <c r="E6" s="101"/>
      <c r="F6" s="68">
        <f xml:space="preserve"> IFERROR(VLOOKUP(TBL_Rank[[#This Row],[Team Nr]],TBL_S1[[Nr 1]:[Nr 2]],5,FALSE), INDEX(TBL_S1[Nr 1], MATCH(TBL_Rank[[#This Row],[Team Nr]],TBL_S1[Nr 2],0)))</f>
        <v>27</v>
      </c>
      <c r="G6" s="67">
        <f xml:space="preserve"> IFERROR(VLOOKUP(TBL_Rank[[#This Row],[Team Nr]],TBL_S2[[Nr 1]:[Nr 2]],5,FALSE), INDEX(TBL_S2[Nr 1], MATCH(TBL_Rank[[#This Row],[Team Nr]],TBL_S2[Nr 2],0)))</f>
        <v>16</v>
      </c>
      <c r="H6" s="68">
        <f xml:space="preserve"> IFERROR(VLOOKUP(TBL_Rank[[#This Row],[Team Nr]],TBL_S3[[Nr 1]:[Nr 2]],5,FALSE), INDEX(TBL_S3[Nr 1], MATCH(TBL_Rank[[#This Row],[Team Nr]],TBL_S3[Nr 2],0)))</f>
        <v>36</v>
      </c>
      <c r="I6" s="67">
        <f xml:space="preserve"> IFERROR(VLOOKUP(TBL_Rank[[#This Row],[Team Nr]],TBL_S4[[Nr 1]:[Nr 2]],5,FALSE), INDEX(TBL_S4[Nr 1], MATCH(TBL_Rank[[#This Row],[Team Nr]],TBL_S4[Nr 2],0)))</f>
        <v>10</v>
      </c>
      <c r="J6" s="67">
        <f xml:space="preserve"> IFERROR(VLOOKUP(TBL_Rank[[#This Row],[Team Nr]],TBL_S5[[Nr 1]:[Nr 2]],5,FALSE), INDEX(TBL_S5[Nr 1], MATCH(TBL_Rank[[#This Row],[Team Nr]],TBL_S5[Nr 2],0)))</f>
        <v>4</v>
      </c>
      <c r="K6" s="68" t="s">
        <v>740</v>
      </c>
      <c r="L6" s="67" t="s">
        <v>744</v>
      </c>
      <c r="M6" s="68" t="s">
        <v>750</v>
      </c>
      <c r="N6" s="96">
        <f xml:space="preserve"> IFERROR(VLOOKUP(TBL_Rank[[#This Row],[Team Naam]],TBL_S1[["Thuis" ploeg (1)]:[VP 2]],8,FALSE), VLOOKUP(TBL_Rank[[#This Row],[Team Naam]],TBL_S1[["Uit" ploeg (2)]:[VP 2]],7,FALSE))</f>
        <v>14.39</v>
      </c>
      <c r="O6" s="57">
        <f xml:space="preserve"> IFERROR(VLOOKUP(TBL_Rank[[#This Row],[Team Naam]],TBL_S2[["Thuis" ploeg (1)]:[VP 2]],8,FALSE), VLOOKUP(TBL_Rank[[#This Row],[Team Naam]],TBL_S2[["Uit" ploeg (2)]:[VP 2]],7,FALSE))</f>
        <v>2.8099999999999987</v>
      </c>
      <c r="P6" s="57">
        <f xml:space="preserve"> IFERROR(VLOOKUP(TBL_Rank[[#This Row],[Team Naam]],TBL_S3[["Thuis" ploeg (1)]:[VP 2]],8,FALSE), VLOOKUP(TBL_Rank[[#This Row],[Team Naam]],TBL_S3[["Uit" ploeg (2)]:[VP 2]],7,FALSE))</f>
        <v>20</v>
      </c>
      <c r="Q6" s="57">
        <f xml:space="preserve"> IFERROR(VLOOKUP(TBL_Rank[[#This Row],[Team Naam]],TBL_S4[["Thuis" ploeg (1)]:[VP 2]],8,FALSE), VLOOKUP(TBL_Rank[[#This Row],[Team Naam]],TBL_S4[["Uit" ploeg (2)]:[VP 2]],7,FALSE))</f>
        <v>16.93</v>
      </c>
      <c r="R6" s="57">
        <f xml:space="preserve"> IFERROR(VLOOKUP(TBL_Rank[[#This Row],[Team Naam]],TBL_S5[["Thuis" ploeg (1)]:[VP 2]],8,FALSE), VLOOKUP(TBL_Rank[[#This Row],[Team Naam]],TBL_S5[["Uit" ploeg (2)]:[VP 2]],7,FALSE))</f>
        <v>16.66</v>
      </c>
      <c r="S6" s="57" t="s">
        <v>746</v>
      </c>
      <c r="T6" s="57" t="s">
        <v>747</v>
      </c>
      <c r="U6" s="75" t="s">
        <v>753</v>
      </c>
    </row>
    <row r="7" spans="2:21" ht="15" thickBot="1" x14ac:dyDescent="0.35">
      <c r="B7" s="76">
        <v>4</v>
      </c>
      <c r="C7" s="93">
        <v>6</v>
      </c>
      <c r="D7" s="94" t="str">
        <f xml:space="preserve"> VLOOKUP(TBL_Rank[[#This Row],[Team Nr]],TBL_Team[],2,FALSE)</f>
        <v>Boeckenberg 2</v>
      </c>
      <c r="E7" s="103"/>
      <c r="F7" s="89">
        <f xml:space="preserve"> IFERROR(VLOOKUP(TBL_Rank[[#This Row],[Team Nr]],TBL_S1[[Nr 1]:[Nr 2]],5,FALSE), INDEX(TBL_S1[Nr 1], MATCH(TBL_Rank[[#This Row],[Team Nr]],TBL_S1[Nr 2],0)))</f>
        <v>37</v>
      </c>
      <c r="G7" s="88">
        <f xml:space="preserve"> IFERROR(VLOOKUP(TBL_Rank[[#This Row],[Team Nr]],TBL_S2[[Nr 1]:[Nr 2]],5,FALSE), INDEX(TBL_S2[Nr 1], MATCH(TBL_Rank[[#This Row],[Team Nr]],TBL_S2[Nr 2],0)))</f>
        <v>23</v>
      </c>
      <c r="H7" s="89">
        <f xml:space="preserve"> IFERROR(VLOOKUP(TBL_Rank[[#This Row],[Team Nr]],TBL_S3[[Nr 1]:[Nr 2]],5,FALSE), INDEX(TBL_S3[Nr 1], MATCH(TBL_Rank[[#This Row],[Team Nr]],TBL_S3[Nr 2],0)))</f>
        <v>8</v>
      </c>
      <c r="I7" s="88">
        <f xml:space="preserve"> IFERROR(VLOOKUP(TBL_Rank[[#This Row],[Team Nr]],TBL_S4[[Nr 1]:[Nr 2]],5,FALSE), INDEX(TBL_S4[Nr 1], MATCH(TBL_Rank[[#This Row],[Team Nr]],TBL_S4[Nr 2],0)))</f>
        <v>31</v>
      </c>
      <c r="J7" s="88">
        <f xml:space="preserve"> IFERROR(VLOOKUP(TBL_Rank[[#This Row],[Team Nr]],TBL_S5[[Nr 1]:[Nr 2]],5,FALSE), INDEX(TBL_S5[Nr 1], MATCH(TBL_Rank[[#This Row],[Team Nr]],TBL_S5[Nr 2],0)))</f>
        <v>24</v>
      </c>
      <c r="K7" s="89" t="s">
        <v>741</v>
      </c>
      <c r="L7" s="88" t="s">
        <v>743</v>
      </c>
      <c r="M7" s="89" t="s">
        <v>750</v>
      </c>
      <c r="N7" s="98">
        <f xml:space="preserve"> IFERROR(VLOOKUP(TBL_Rank[[#This Row],[Team Naam]],TBL_S1[["Thuis" ploeg (1)]:[VP 2]],8,FALSE), VLOOKUP(TBL_Rank[[#This Row],[Team Naam]],TBL_S1[["Uit" ploeg (2)]:[VP 2]],7,FALSE))</f>
        <v>7.6999999999999993</v>
      </c>
      <c r="O7" s="87">
        <f xml:space="preserve"> IFERROR(VLOOKUP(TBL_Rank[[#This Row],[Team Naam]],TBL_S2[["Thuis" ploeg (1)]:[VP 2]],8,FALSE), VLOOKUP(TBL_Rank[[#This Row],[Team Naam]],TBL_S2[["Uit" ploeg (2)]:[VP 2]],7,FALSE))</f>
        <v>5.42</v>
      </c>
      <c r="P7" s="87">
        <f xml:space="preserve"> IFERROR(VLOOKUP(TBL_Rank[[#This Row],[Team Naam]],TBL_S3[["Thuis" ploeg (1)]:[VP 2]],8,FALSE), VLOOKUP(TBL_Rank[[#This Row],[Team Naam]],TBL_S3[["Uit" ploeg (2)]:[VP 2]],7,FALSE))</f>
        <v>20</v>
      </c>
      <c r="Q7" s="87">
        <f xml:space="preserve"> IFERROR(VLOOKUP(TBL_Rank[[#This Row],[Team Naam]],TBL_S4[["Thuis" ploeg (1)]:[VP 2]],8,FALSE), VLOOKUP(TBL_Rank[[#This Row],[Team Naam]],TBL_S4[["Uit" ploeg (2)]:[VP 2]],7,FALSE))</f>
        <v>18.23</v>
      </c>
      <c r="R7" s="87">
        <f xml:space="preserve"> IFERROR(VLOOKUP(TBL_Rank[[#This Row],[Team Naam]],TBL_S5[["Thuis" ploeg (1)]:[VP 2]],8,FALSE), VLOOKUP(TBL_Rank[[#This Row],[Team Naam]],TBL_S5[["Uit" ploeg (2)]:[VP 2]],7,FALSE))</f>
        <v>18.63</v>
      </c>
      <c r="S7" s="87" t="s">
        <v>746</v>
      </c>
      <c r="T7" s="87" t="s">
        <v>747</v>
      </c>
      <c r="U7" s="90" t="s">
        <v>754</v>
      </c>
    </row>
    <row r="8" spans="2:21" x14ac:dyDescent="0.3">
      <c r="B8" s="72">
        <v>5</v>
      </c>
      <c r="C8" s="91">
        <v>19</v>
      </c>
      <c r="D8" s="92" t="str">
        <f xml:space="preserve"> VLOOKUP(TBL_Rank[[#This Row],[Team Nr]],TBL_Team[],2,FALSE)</f>
        <v>Bee 1</v>
      </c>
      <c r="E8" s="102">
        <f xml:space="preserve"> SUM(TBL_Rank[[#This Row],[Speeldag 1]:[Speeldag 8]])</f>
        <v>113.09</v>
      </c>
      <c r="F8" s="68">
        <f xml:space="preserve"> IFERROR(VLOOKUP(TBL_Rank[[#This Row],[Team Nr]],TBL_S1[[Nr 1]:[Nr 2]],5,FALSE), INDEX(TBL_S1[Nr 1], MATCH(TBL_Rank[[#This Row],[Team Nr]],TBL_S1[Nr 2],0)))</f>
        <v>12</v>
      </c>
      <c r="G8" s="67">
        <f xml:space="preserve"> IFERROR(VLOOKUP(TBL_Rank[[#This Row],[Team Nr]],TBL_S2[[Nr 1]:[Nr 2]],5,FALSE), INDEX(TBL_S2[Nr 1], MATCH(TBL_Rank[[#This Row],[Team Nr]],TBL_S2[Nr 2],0)))</f>
        <v>26</v>
      </c>
      <c r="H8" s="68">
        <f xml:space="preserve"> IFERROR(VLOOKUP(TBL_Rank[[#This Row],[Team Nr]],TBL_S3[[Nr 1]:[Nr 2]],5,FALSE), INDEX(TBL_S3[Nr 1], MATCH(TBL_Rank[[#This Row],[Team Nr]],TBL_S3[Nr 2],0)))</f>
        <v>42</v>
      </c>
      <c r="I8" s="67">
        <f xml:space="preserve"> IFERROR(VLOOKUP(TBL_Rank[[#This Row],[Team Nr]],TBL_S4[[Nr 1]:[Nr 2]],5,FALSE), INDEX(TBL_S4[Nr 1], MATCH(TBL_Rank[[#This Row],[Team Nr]],TBL_S4[Nr 2],0)))</f>
        <v>11</v>
      </c>
      <c r="J8" s="67">
        <f xml:space="preserve"> IFERROR(VLOOKUP(TBL_Rank[[#This Row],[Team Nr]],TBL_S5[[Nr 1]:[Nr 2]],5,FALSE), INDEX(TBL_S5[Nr 1], MATCH(TBL_Rank[[#This Row],[Team Nr]],TBL_S5[Nr 2],0)))</f>
        <v>2</v>
      </c>
      <c r="K8" s="68" t="s">
        <v>739</v>
      </c>
      <c r="L8" s="67">
        <f xml:space="preserve"> IFERROR(VLOOKUP(TBL_Rank[[#This Row],[Team Nr]],TBL_S7[[Nr 1]:[Nr 2]],5,FALSE), INDEX(TBL_S7[Nr 1], MATCH(TBL_Rank[[#This Row],[Team Nr]],TBL_S7[Nr 2],0)))</f>
        <v>7</v>
      </c>
      <c r="M8" s="68">
        <f xml:space="preserve"> IFERROR(VLOOKUP(TBL_Rank[[#This Row],[Team Nr]],TBL_S8[[Nr 1]:[Nr 2]],5,FALSE), INDEX(TBL_S8[Nr 1], MATCH(TBL_Rank[[#This Row],[Team Nr]],TBL_S8[Nr 2],0)))</f>
        <v>37</v>
      </c>
      <c r="N8" s="97">
        <f xml:space="preserve"> IFERROR(VLOOKUP(TBL_Rank[[#This Row],[Team Naam]],TBL_S1[["Thuis" ploeg (1)]:[VP 2]],8,FALSE), VLOOKUP(TBL_Rank[[#This Row],[Team Naam]],TBL_S1[["Uit" ploeg (2)]:[VP 2]],7,FALSE))</f>
        <v>13.81</v>
      </c>
      <c r="O8" s="57">
        <f xml:space="preserve"> IFERROR(VLOOKUP(TBL_Rank[[#This Row],[Team Naam]],TBL_S2[["Thuis" ploeg (1)]:[VP 2]],8,FALSE), VLOOKUP(TBL_Rank[[#This Row],[Team Naam]],TBL_S2[["Uit" ploeg (2)]:[VP 2]],7,FALSE))</f>
        <v>15.93</v>
      </c>
      <c r="P8" s="57">
        <f xml:space="preserve"> IFERROR(VLOOKUP(TBL_Rank[[#This Row],[Team Naam]],TBL_S3[["Thuis" ploeg (1)]:[VP 2]],8,FALSE), VLOOKUP(TBL_Rank[[#This Row],[Team Naam]],TBL_S3[["Uit" ploeg (2)]:[VP 2]],7,FALSE))</f>
        <v>10.28</v>
      </c>
      <c r="Q8" s="57">
        <f xml:space="preserve"> IFERROR(VLOOKUP(TBL_Rank[[#This Row],[Team Naam]],TBL_S4[["Thuis" ploeg (1)]:[VP 2]],8,FALSE), VLOOKUP(TBL_Rank[[#This Row],[Team Naam]],TBL_S4[["Uit" ploeg (2)]:[VP 2]],7,FALSE))</f>
        <v>19.489999999999998</v>
      </c>
      <c r="R8" s="57">
        <f xml:space="preserve"> IFERROR(VLOOKUP(TBL_Rank[[#This Row],[Team Naam]],TBL_S5[["Thuis" ploeg (1)]:[VP 2]],8,FALSE), VLOOKUP(TBL_Rank[[#This Row],[Team Naam]],TBL_S5[["Uit" ploeg (2)]:[VP 2]],7,FALSE))</f>
        <v>15.45</v>
      </c>
      <c r="S8" s="86">
        <v>14</v>
      </c>
      <c r="T8" s="57">
        <f xml:space="preserve"> IFERROR(VLOOKUP(TBL_Rank[[#This Row],[Team Naam]],TBL_S7[["Thuis" ploeg (1)]:[VP 2]],8,FALSE), VLOOKUP(TBL_Rank[[#This Row],[Team Naam]],TBL_S7[["Uit" ploeg (2)]:[VP 2]],7,FALSE))</f>
        <v>7.4700000000000006</v>
      </c>
      <c r="U8" s="75">
        <f xml:space="preserve"> IFERROR(VLOOKUP(TBL_Rank[[#This Row],[Team Naam]],TBL_S8[["Thuis" ploeg (1)]:[VP 2]],8,FALSE), VLOOKUP(TBL_Rank[[#This Row],[Team Naam]],TBL_S8[["Uit" ploeg (2)]:[VP 2]],7,FALSE))</f>
        <v>16.66</v>
      </c>
    </row>
    <row r="9" spans="2:21" x14ac:dyDescent="0.3">
      <c r="B9" s="99">
        <v>6</v>
      </c>
      <c r="C9" s="91">
        <v>26</v>
      </c>
      <c r="D9" s="92" t="str">
        <f xml:space="preserve"> VLOOKUP(TBL_Rank[[#This Row],[Team Nr]],TBL_Team[],2,FALSE)</f>
        <v>ANPAROJO</v>
      </c>
      <c r="E9" s="101">
        <f xml:space="preserve"> SUM(TBL_Rank[[#This Row],[Speeldag 1]:[Speeldag 8]])</f>
        <v>107.39</v>
      </c>
      <c r="F9" s="68">
        <f xml:space="preserve"> IFERROR(VLOOKUP(TBL_Rank[[#This Row],[Team Nr]],TBL_S1[[Nr 1]:[Nr 2]],5,FALSE), INDEX(TBL_S1[Nr 1], MATCH(TBL_Rank[[#This Row],[Team Nr]],TBL_S1[Nr 2],0)))</f>
        <v>33</v>
      </c>
      <c r="G9" s="67">
        <f xml:space="preserve"> IFERROR(VLOOKUP(TBL_Rank[[#This Row],[Team Nr]],TBL_S2[[Nr 1]:[Nr 2]],5,FALSE), INDEX(TBL_S2[Nr 1], MATCH(TBL_Rank[[#This Row],[Team Nr]],TBL_S2[Nr 2],0)))</f>
        <v>19</v>
      </c>
      <c r="H9" s="68">
        <f xml:space="preserve"> IFERROR(VLOOKUP(TBL_Rank[[#This Row],[Team Nr]],TBL_S3[[Nr 1]:[Nr 2]],5,FALSE), INDEX(TBL_S3[Nr 1], MATCH(TBL_Rank[[#This Row],[Team Nr]],TBL_S3[Nr 2],0)))</f>
        <v>25</v>
      </c>
      <c r="I9" s="67">
        <f xml:space="preserve"> IFERROR(VLOOKUP(TBL_Rank[[#This Row],[Team Nr]],TBL_S4[[Nr 1]:[Nr 2]],5,FALSE), INDEX(TBL_S4[Nr 1], MATCH(TBL_Rank[[#This Row],[Team Nr]],TBL_S4[Nr 2],0)))</f>
        <v>30</v>
      </c>
      <c r="J9" s="67">
        <f xml:space="preserve"> IFERROR(VLOOKUP(TBL_Rank[[#This Row],[Team Nr]],TBL_S5[[Nr 1]:[Nr 2]],5,FALSE), INDEX(TBL_S5[Nr 1], MATCH(TBL_Rank[[#This Row],[Team Nr]],TBL_S5[Nr 2],0)))</f>
        <v>37</v>
      </c>
      <c r="K9" s="68" t="s">
        <v>738</v>
      </c>
      <c r="L9" s="67">
        <f xml:space="preserve"> IFERROR(VLOOKUP(TBL_Rank[[#This Row],[Team Nr]],TBL_S7[[Nr 1]:[Nr 2]],5,FALSE), INDEX(TBL_S7[Nr 1], MATCH(TBL_Rank[[#This Row],[Team Nr]],TBL_S7[Nr 2],0)))</f>
        <v>42</v>
      </c>
      <c r="M9" s="68">
        <f xml:space="preserve"> IFERROR(VLOOKUP(TBL_Rank[[#This Row],[Team Nr]],TBL_S8[[Nr 1]:[Nr 2]],5,FALSE), INDEX(TBL_S8[Nr 1], MATCH(TBL_Rank[[#This Row],[Team Nr]],TBL_S8[Nr 2],0)))</f>
        <v>7</v>
      </c>
      <c r="N9" s="96">
        <f xml:space="preserve"> IFERROR(VLOOKUP(TBL_Rank[[#This Row],[Team Naam]],TBL_S1[["Thuis" ploeg (1)]:[VP 2]],8,FALSE), VLOOKUP(TBL_Rank[[#This Row],[Team Naam]],TBL_S1[["Uit" ploeg (2)]:[VP 2]],7,FALSE))</f>
        <v>13.81</v>
      </c>
      <c r="O9" s="57">
        <f xml:space="preserve"> IFERROR(VLOOKUP(TBL_Rank[[#This Row],[Team Naam]],TBL_S2[["Thuis" ploeg (1)]:[VP 2]],8,FALSE), VLOOKUP(TBL_Rank[[#This Row],[Team Naam]],TBL_S2[["Uit" ploeg (2)]:[VP 2]],7,FALSE))</f>
        <v>4.07</v>
      </c>
      <c r="P9" s="57">
        <f xml:space="preserve"> IFERROR(VLOOKUP(TBL_Rank[[#This Row],[Team Naam]],TBL_S3[["Thuis" ploeg (1)]:[VP 2]],8,FALSE), VLOOKUP(TBL_Rank[[#This Row],[Team Naam]],TBL_S3[["Uit" ploeg (2)]:[VP 2]],7,FALSE))</f>
        <v>19</v>
      </c>
      <c r="Q9" s="57">
        <f xml:space="preserve"> IFERROR(VLOOKUP(TBL_Rank[[#This Row],[Team Naam]],TBL_S4[["Thuis" ploeg (1)]:[VP 2]],8,FALSE), VLOOKUP(TBL_Rank[[#This Row],[Team Naam]],TBL_S4[["Uit" ploeg (2)]:[VP 2]],7,FALSE))</f>
        <v>13.61</v>
      </c>
      <c r="R9" s="57">
        <f xml:space="preserve"> IFERROR(VLOOKUP(TBL_Rank[[#This Row],[Team Naam]],TBL_S5[["Thuis" ploeg (1)]:[VP 2]],8,FALSE), VLOOKUP(TBL_Rank[[#This Row],[Team Naam]],TBL_S5[["Uit" ploeg (2)]:[VP 2]],7,FALSE))</f>
        <v>13.2</v>
      </c>
      <c r="S9" s="86">
        <v>14</v>
      </c>
      <c r="T9" s="57">
        <f xml:space="preserve"> IFERROR(VLOOKUP(TBL_Rank[[#This Row],[Team Naam]],TBL_S7[["Thuis" ploeg (1)]:[VP 2]],8,FALSE), VLOOKUP(TBL_Rank[[#This Row],[Team Naam]],TBL_S7[["Uit" ploeg (2)]:[VP 2]],7,FALSE))</f>
        <v>14.76</v>
      </c>
      <c r="U9" s="57">
        <f xml:space="preserve"> IFERROR(VLOOKUP(TBL_Rank[[#This Row],[Team Naam]],TBL_S8[["Thuis" ploeg (1)]:[VP 2]],8,FALSE), VLOOKUP(TBL_Rank[[#This Row],[Team Naam]],TBL_S8[["Uit" ploeg (2)]:[VP 2]],7,FALSE))</f>
        <v>14.94</v>
      </c>
    </row>
    <row r="10" spans="2:21" x14ac:dyDescent="0.3">
      <c r="B10" s="72">
        <v>7</v>
      </c>
      <c r="C10" s="91">
        <v>7</v>
      </c>
      <c r="D10" s="95" t="str">
        <f xml:space="preserve"> VLOOKUP(TBL_Rank[[#This Row],[Team Nr]],TBL_Team[],2,FALSE)</f>
        <v>Riviera 9</v>
      </c>
      <c r="E10" s="101">
        <f xml:space="preserve"> SUM(TBL_Rank[[#This Row],[Speeldag 1]:[Speeldag 8]])</f>
        <v>100.83</v>
      </c>
      <c r="F10" s="66">
        <f xml:space="preserve"> IFERROR(VLOOKUP(TBL_Rank[[#This Row],[Team Nr]],TBL_S1[[Nr 1]:[Nr 2]],5,FALSE), INDEX(TBL_S1[Nr 1], MATCH(TBL_Rank[[#This Row],[Team Nr]],TBL_S1[Nr 2],0)))</f>
        <v>29</v>
      </c>
      <c r="G10" s="65">
        <f xml:space="preserve"> IFERROR(VLOOKUP(TBL_Rank[[#This Row],[Team Nr]],TBL_S2[[Nr 1]:[Nr 2]],5,FALSE), INDEX(TBL_S2[Nr 1], MATCH(TBL_Rank[[#This Row],[Team Nr]],TBL_S2[Nr 2],0)))</f>
        <v>10</v>
      </c>
      <c r="H10" s="66">
        <f xml:space="preserve"> IFERROR(VLOOKUP(TBL_Rank[[#This Row],[Team Nr]],TBL_S3[[Nr 1]:[Nr 2]],5,FALSE), INDEX(TBL_S3[Nr 1], MATCH(TBL_Rank[[#This Row],[Team Nr]],TBL_S3[Nr 2],0)))</f>
        <v>35</v>
      </c>
      <c r="I10" s="65">
        <f xml:space="preserve"> IFERROR(VLOOKUP(TBL_Rank[[#This Row],[Team Nr]],TBL_S4[[Nr 1]:[Nr 2]],5,FALSE), INDEX(TBL_S4[Nr 1], MATCH(TBL_Rank[[#This Row],[Team Nr]],TBL_S4[Nr 2],0)))</f>
        <v>4</v>
      </c>
      <c r="J10" s="65">
        <f xml:space="preserve"> IFERROR(VLOOKUP(TBL_Rank[[#This Row],[Team Nr]],TBL_S5[[Nr 1]:[Nr 2]],5,FALSE), INDEX(TBL_S5[Nr 1], MATCH(TBL_Rank[[#This Row],[Team Nr]],TBL_S5[Nr 2],0)))</f>
        <v>28</v>
      </c>
      <c r="K10" s="66" t="s">
        <v>741</v>
      </c>
      <c r="L10" s="67">
        <f xml:space="preserve"> IFERROR(VLOOKUP(TBL_Rank[[#This Row],[Team Nr]],TBL_S7[[Nr 1]:[Nr 2]],5,FALSE), INDEX(TBL_S7[Nr 1], MATCH(TBL_Rank[[#This Row],[Team Nr]],TBL_S7[Nr 2],0)))</f>
        <v>19</v>
      </c>
      <c r="M10" s="68">
        <f xml:space="preserve"> IFERROR(VLOOKUP(TBL_Rank[[#This Row],[Team Nr]],TBL_S8[[Nr 1]:[Nr 2]],5,FALSE), INDEX(TBL_S8[Nr 1], MATCH(TBL_Rank[[#This Row],[Team Nr]],TBL_S8[Nr 2],0)))</f>
        <v>26</v>
      </c>
      <c r="N10" s="96">
        <f xml:space="preserve"> IFERROR(VLOOKUP(TBL_Rank[[#This Row],[Team Naam]],TBL_S1[["Thuis" ploeg (1)]:[VP 2]],8,FALSE), VLOOKUP(TBL_Rank[[#This Row],[Team Naam]],TBL_S1[["Uit" ploeg (2)]:[VP 2]],7,FALSE))</f>
        <v>20</v>
      </c>
      <c r="O10" s="23">
        <f xml:space="preserve"> IFERROR(VLOOKUP(TBL_Rank[[#This Row],[Team Naam]],TBL_S2[["Thuis" ploeg (1)]:[VP 2]],8,FALSE), VLOOKUP(TBL_Rank[[#This Row],[Team Naam]],TBL_S2[["Uit" ploeg (2)]:[VP 2]],7,FALSE))</f>
        <v>15.77</v>
      </c>
      <c r="P10" s="23">
        <f xml:space="preserve"> IFERROR(VLOOKUP(TBL_Rank[[#This Row],[Team Naam]],TBL_S3[["Thuis" ploeg (1)]:[VP 2]],8,FALSE), VLOOKUP(TBL_Rank[[#This Row],[Team Naam]],TBL_S3[["Uit" ploeg (2)]:[VP 2]],7,FALSE))</f>
        <v>9.7200000000000006</v>
      </c>
      <c r="Q10" s="23">
        <f xml:space="preserve"> IFERROR(VLOOKUP(TBL_Rank[[#This Row],[Team Naam]],TBL_S4[["Thuis" ploeg (1)]:[VP 2]],8,FALSE), VLOOKUP(TBL_Rank[[#This Row],[Team Naam]],TBL_S4[["Uit" ploeg (2)]:[VP 2]],7,FALSE))</f>
        <v>10.55</v>
      </c>
      <c r="R10" s="23">
        <f xml:space="preserve"> IFERROR(VLOOKUP(TBL_Rank[[#This Row],[Team Naam]],TBL_S5[["Thuis" ploeg (1)]:[VP 2]],8,FALSE), VLOOKUP(TBL_Rank[[#This Row],[Team Naam]],TBL_S5[["Uit" ploeg (2)]:[VP 2]],7,FALSE))</f>
        <v>13.2</v>
      </c>
      <c r="S10" s="86">
        <v>14</v>
      </c>
      <c r="T10" s="23">
        <f xml:space="preserve"> IFERROR(VLOOKUP(TBL_Rank[[#This Row],[Team Naam]],TBL_S7[["Thuis" ploeg (1)]:[VP 2]],8,FALSE), VLOOKUP(TBL_Rank[[#This Row],[Team Naam]],TBL_S7[["Uit" ploeg (2)]:[VP 2]],7,FALSE))</f>
        <v>12.53</v>
      </c>
      <c r="U10" s="74">
        <f xml:space="preserve"> IFERROR(VLOOKUP(TBL_Rank[[#This Row],[Team Naam]],TBL_S8[["Thuis" ploeg (1)]:[VP 2]],8,FALSE), VLOOKUP(TBL_Rank[[#This Row],[Team Naam]],TBL_S8[["Uit" ploeg (2)]:[VP 2]],7,FALSE))</f>
        <v>5.0600000000000005</v>
      </c>
    </row>
    <row r="11" spans="2:21" x14ac:dyDescent="0.3">
      <c r="B11" s="72">
        <v>8</v>
      </c>
      <c r="C11" s="91">
        <v>42</v>
      </c>
      <c r="D11" s="92" t="str">
        <f xml:space="preserve"> VLOOKUP(TBL_Rank[[#This Row],[Team Nr]],TBL_Team[],2,FALSE)</f>
        <v>Goldstar</v>
      </c>
      <c r="E11" s="101">
        <f xml:space="preserve"> SUM(TBL_Rank[[#This Row],[Speeldag 1]:[Speeldag 8]])</f>
        <v>99.41</v>
      </c>
      <c r="F11" s="68">
        <f xml:space="preserve"> IFERROR(VLOOKUP(TBL_Rank[[#This Row],[Team Nr]],TBL_S1[[Nr 1]:[Nr 2]],5,FALSE), INDEX(TBL_S1[Nr 1], MATCH(TBL_Rank[[#This Row],[Team Nr]],TBL_S1[Nr 2],0)))</f>
        <v>3</v>
      </c>
      <c r="G11" s="67">
        <f xml:space="preserve"> IFERROR(VLOOKUP(TBL_Rank[[#This Row],[Team Nr]],TBL_S2[[Nr 1]:[Nr 2]],5,FALSE), INDEX(TBL_S2[Nr 1], MATCH(TBL_Rank[[#This Row],[Team Nr]],TBL_S2[Nr 2],0)))</f>
        <v>2</v>
      </c>
      <c r="H11" s="68">
        <f xml:space="preserve"> IFERROR(VLOOKUP(TBL_Rank[[#This Row],[Team Nr]],TBL_S3[[Nr 1]:[Nr 2]],5,FALSE), INDEX(TBL_S3[Nr 1], MATCH(TBL_Rank[[#This Row],[Team Nr]],TBL_S3[Nr 2],0)))</f>
        <v>19</v>
      </c>
      <c r="I11" s="67">
        <f xml:space="preserve"> IFERROR(VLOOKUP(TBL_Rank[[#This Row],[Team Nr]],TBL_S4[[Nr 1]:[Nr 2]],5,FALSE), INDEX(TBL_S4[Nr 1], MATCH(TBL_Rank[[#This Row],[Team Nr]],TBL_S4[Nr 2],0)))</f>
        <v>24</v>
      </c>
      <c r="J11" s="67">
        <f xml:space="preserve"> IFERROR(VLOOKUP(TBL_Rank[[#This Row],[Team Nr]],TBL_S5[[Nr 1]:[Nr 2]],5,FALSE), INDEX(TBL_S5[Nr 1], MATCH(TBL_Rank[[#This Row],[Team Nr]],TBL_S5[Nr 2],0)))</f>
        <v>13</v>
      </c>
      <c r="K11" s="68" t="s">
        <v>740</v>
      </c>
      <c r="L11" s="67">
        <f xml:space="preserve"> IFERROR(VLOOKUP(TBL_Rank[[#This Row],[Team Nr]],TBL_S7[[Nr 1]:[Nr 2]],5,FALSE), INDEX(TBL_S7[Nr 1], MATCH(TBL_Rank[[#This Row],[Team Nr]],TBL_S7[Nr 2],0)))</f>
        <v>26</v>
      </c>
      <c r="M11" s="68">
        <f xml:space="preserve"> IFERROR(VLOOKUP(TBL_Rank[[#This Row],[Team Nr]],TBL_S8[[Nr 1]:[Nr 2]],5,FALSE), INDEX(TBL_S8[Nr 1], MATCH(TBL_Rank[[#This Row],[Team Nr]],TBL_S8[Nr 2],0)))</f>
        <v>40</v>
      </c>
      <c r="N11" s="96">
        <f xml:space="preserve"> IFERROR(VLOOKUP(TBL_Rank[[#This Row],[Team Naam]],TBL_S1[["Thuis" ploeg (1)]:[VP 2]],8,FALSE), VLOOKUP(TBL_Rank[[#This Row],[Team Naam]],TBL_S1[["Uit" ploeg (2)]:[VP 2]],7,FALSE))</f>
        <v>16.38</v>
      </c>
      <c r="O11" s="57">
        <f xml:space="preserve"> IFERROR(VLOOKUP(TBL_Rank[[#This Row],[Team Naam]],TBL_S2[["Thuis" ploeg (1)]:[VP 2]],8,FALSE), VLOOKUP(TBL_Rank[[#This Row],[Team Naam]],TBL_S2[["Uit" ploeg (2)]:[VP 2]],7,FALSE))</f>
        <v>15.11</v>
      </c>
      <c r="P11" s="57">
        <f xml:space="preserve"> IFERROR(VLOOKUP(TBL_Rank[[#This Row],[Team Naam]],TBL_S3[["Thuis" ploeg (1)]:[VP 2]],8,FALSE), VLOOKUP(TBL_Rank[[#This Row],[Team Naam]],TBL_S3[["Uit" ploeg (2)]:[VP 2]],7,FALSE))</f>
        <v>9.7200000000000006</v>
      </c>
      <c r="Q11" s="57">
        <f xml:space="preserve"> IFERROR(VLOOKUP(TBL_Rank[[#This Row],[Team Naam]],TBL_S4[["Thuis" ploeg (1)]:[VP 2]],8,FALSE), VLOOKUP(TBL_Rank[[#This Row],[Team Naam]],TBL_S4[["Uit" ploeg (2)]:[VP 2]],7,FALSE))</f>
        <v>7.6999999999999993</v>
      </c>
      <c r="R11" s="57">
        <f xml:space="preserve"> IFERROR(VLOOKUP(TBL_Rank[[#This Row],[Team Naam]],TBL_S5[["Thuis" ploeg (1)]:[VP 2]],8,FALSE), VLOOKUP(TBL_Rank[[#This Row],[Team Naam]],TBL_S5[["Uit" ploeg (2)]:[VP 2]],7,FALSE))</f>
        <v>18.73</v>
      </c>
      <c r="S11" s="86">
        <v>14</v>
      </c>
      <c r="T11" s="57">
        <f xml:space="preserve"> IFERROR(VLOOKUP(TBL_Rank[[#This Row],[Team Naam]],TBL_S7[["Thuis" ploeg (1)]:[VP 2]],8,FALSE), VLOOKUP(TBL_Rank[[#This Row],[Team Naam]],TBL_S7[["Uit" ploeg (2)]:[VP 2]],7,FALSE))</f>
        <v>5.24</v>
      </c>
      <c r="U11" s="75">
        <f xml:space="preserve"> IFERROR(VLOOKUP(TBL_Rank[[#This Row],[Team Naam]],TBL_S8[["Thuis" ploeg (1)]:[VP 2]],8,FALSE), VLOOKUP(TBL_Rank[[#This Row],[Team Naam]],TBL_S8[["Uit" ploeg (2)]:[VP 2]],7,FALSE))</f>
        <v>12.53</v>
      </c>
    </row>
    <row r="12" spans="2:21" x14ac:dyDescent="0.3">
      <c r="B12" s="99">
        <v>9</v>
      </c>
      <c r="C12" s="91">
        <v>21</v>
      </c>
      <c r="D12" s="92" t="str">
        <f xml:space="preserve"> VLOOKUP(TBL_Rank[[#This Row],[Team Nr]],TBL_Team[],2,FALSE)</f>
        <v>Bridgevrienden</v>
      </c>
      <c r="E12" s="102">
        <f xml:space="preserve"> SUM(TBL_Rank[[#This Row],[Speeldag 1]:[Speeldag 8]])</f>
        <v>98.52</v>
      </c>
      <c r="F12" s="68">
        <f xml:space="preserve"> IFERROR(VLOOKUP(TBL_Rank[[#This Row],[Team Nr]],TBL_S1[[Nr 1]:[Nr 2]],5,FALSE), INDEX(TBL_S1[Nr 1], MATCH(TBL_Rank[[#This Row],[Team Nr]],TBL_S1[Nr 2],0)))</f>
        <v>39</v>
      </c>
      <c r="G12" s="67">
        <f xml:space="preserve"> IFERROR(VLOOKUP(TBL_Rank[[#This Row],[Team Nr]],TBL_S2[[Nr 1]:[Nr 2]],5,FALSE), INDEX(TBL_S2[Nr 1], MATCH(TBL_Rank[[#This Row],[Team Nr]],TBL_S2[Nr 2],0)))</f>
        <v>15</v>
      </c>
      <c r="H12" s="68">
        <f xml:space="preserve"> IFERROR(VLOOKUP(TBL_Rank[[#This Row],[Team Nr]],TBL_S3[[Nr 1]:[Nr 2]],5,FALSE), INDEX(TBL_S3[Nr 1], MATCH(TBL_Rank[[#This Row],[Team Nr]],TBL_S3[Nr 2],0)))</f>
        <v>30</v>
      </c>
      <c r="I12" s="67">
        <f xml:space="preserve"> IFERROR(VLOOKUP(TBL_Rank[[#This Row],[Team Nr]],TBL_S4[[Nr 1]:[Nr 2]],5,FALSE), INDEX(TBL_S4[Nr 1], MATCH(TBL_Rank[[#This Row],[Team Nr]],TBL_S4[Nr 2],0)))</f>
        <v>18</v>
      </c>
      <c r="J12" s="67">
        <f xml:space="preserve"> IFERROR(VLOOKUP(TBL_Rank[[#This Row],[Team Nr]],TBL_S5[[Nr 1]:[Nr 2]],5,FALSE), INDEX(TBL_S5[Nr 1], MATCH(TBL_Rank[[#This Row],[Team Nr]],TBL_S5[Nr 2],0)))</f>
        <v>36</v>
      </c>
      <c r="K12" s="66">
        <f xml:space="preserve"> IFERROR(VLOOKUP(TBL_Rank[[#This Row],[Team Nr]],TBL_S6[[Nr 1]:[Nr 2]],5,FALSE), INDEX(TBL_S6[Nr 1], MATCH(TBL_Rank[[#This Row],[Team Nr]],TBL_S6[Nr 2],0)))</f>
        <v>35</v>
      </c>
      <c r="L12" s="67">
        <f xml:space="preserve"> IFERROR(VLOOKUP(TBL_Rank[[#This Row],[Team Nr]],TBL_S7[[Nr 1]:[Nr 2]],5,FALSE), INDEX(TBL_S7[Nr 1], MATCH(TBL_Rank[[#This Row],[Team Nr]],TBL_S7[Nr 2],0)))</f>
        <v>13</v>
      </c>
      <c r="M12" s="68">
        <f xml:space="preserve"> IFERROR(VLOOKUP(TBL_Rank[[#This Row],[Team Nr]],TBL_S8[[Nr 1]:[Nr 2]],5,FALSE), INDEX(TBL_S8[Nr 1], MATCH(TBL_Rank[[#This Row],[Team Nr]],TBL_S8[Nr 2],0)))</f>
        <v>2</v>
      </c>
      <c r="N12" s="97">
        <f xml:space="preserve"> IFERROR(VLOOKUP(TBL_Rank[[#This Row],[Team Naam]],TBL_S1[["Thuis" ploeg (1)]:[VP 2]],8,FALSE), VLOOKUP(TBL_Rank[[#This Row],[Team Naam]],TBL_S1[["Uit" ploeg (2)]:[VP 2]],7,FALSE))</f>
        <v>0.67000000000000171</v>
      </c>
      <c r="O12" s="57">
        <f xml:space="preserve"> IFERROR(VLOOKUP(TBL_Rank[[#This Row],[Team Naam]],TBL_S2[["Thuis" ploeg (1)]:[VP 2]],8,FALSE), VLOOKUP(TBL_Rank[[#This Row],[Team Naam]],TBL_S2[["Uit" ploeg (2)]:[VP 2]],7,FALSE))</f>
        <v>19.72</v>
      </c>
      <c r="P12" s="57">
        <f xml:space="preserve"> IFERROR(VLOOKUP(TBL_Rank[[#This Row],[Team Naam]],TBL_S3[["Thuis" ploeg (1)]:[VP 2]],8,FALSE), VLOOKUP(TBL_Rank[[#This Row],[Team Naam]],TBL_S3[["Uit" ploeg (2)]:[VP 2]],7,FALSE))</f>
        <v>3.7699999999999996</v>
      </c>
      <c r="Q12" s="57">
        <f xml:space="preserve"> IFERROR(VLOOKUP(TBL_Rank[[#This Row],[Team Naam]],TBL_S4[["Thuis" ploeg (1)]:[VP 2]],8,FALSE), VLOOKUP(TBL_Rank[[#This Row],[Team Naam]],TBL_S4[["Uit" ploeg (2)]:[VP 2]],7,FALSE))</f>
        <v>15.93</v>
      </c>
      <c r="R12" s="57">
        <f xml:space="preserve"> IFERROR(VLOOKUP(TBL_Rank[[#This Row],[Team Naam]],TBL_S5[["Thuis" ploeg (1)]:[VP 2]],8,FALSE), VLOOKUP(TBL_Rank[[#This Row],[Team Naam]],TBL_S5[["Uit" ploeg (2)]:[VP 2]],7,FALSE))</f>
        <v>12.98</v>
      </c>
      <c r="S12" s="57">
        <f xml:space="preserve"> IFERROR(VLOOKUP(TBL_Rank[[#This Row],[Team Naam]],TBL_S6[["Thuis" ploeg (1)]:[VP 2]],8,FALSE), VLOOKUP(TBL_Rank[[#This Row],[Team Naam]],TBL_S6[["Uit" ploeg (2)]:[VP 2]],7,FALSE))</f>
        <v>14.94</v>
      </c>
      <c r="T12" s="57">
        <f xml:space="preserve"> IFERROR(VLOOKUP(TBL_Rank[[#This Row],[Team Naam]],TBL_S7[["Thuis" ploeg (1)]:[VP 2]],8,FALSE), VLOOKUP(TBL_Rank[[#This Row],[Team Naam]],TBL_S7[["Uit" ploeg (2)]:[VP 2]],7,FALSE))</f>
        <v>15.93</v>
      </c>
      <c r="U12" s="75">
        <f xml:space="preserve"> IFERROR(VLOOKUP(TBL_Rank[[#This Row],[Team Naam]],TBL_S8[["Thuis" ploeg (1)]:[VP 2]],8,FALSE), VLOOKUP(TBL_Rank[[#This Row],[Team Naam]],TBL_S8[["Uit" ploeg (2)]:[VP 2]],7,FALSE))</f>
        <v>14.58</v>
      </c>
    </row>
    <row r="13" spans="2:21" x14ac:dyDescent="0.3">
      <c r="B13" s="72">
        <v>10</v>
      </c>
      <c r="C13" s="91">
        <v>37</v>
      </c>
      <c r="D13" s="92" t="str">
        <f xml:space="preserve"> VLOOKUP(TBL_Rank[[#This Row],[Team Nr]],TBL_Team[],2,FALSE)</f>
        <v>REGENBOOG</v>
      </c>
      <c r="E13" s="101">
        <f xml:space="preserve"> SUM(TBL_Rank[[#This Row],[Speeldag 1]:[Speeldag 8]])</f>
        <v>93.679999999999993</v>
      </c>
      <c r="F13" s="68">
        <f xml:space="preserve"> IFERROR(VLOOKUP(TBL_Rank[[#This Row],[Team Nr]],TBL_S1[[Nr 1]:[Nr 2]],5,FALSE), INDEX(TBL_S1[Nr 1], MATCH(TBL_Rank[[#This Row],[Team Nr]],TBL_S1[Nr 2],0)))</f>
        <v>6</v>
      </c>
      <c r="G13" s="67">
        <f xml:space="preserve"> IFERROR(VLOOKUP(TBL_Rank[[#This Row],[Team Nr]],TBL_S2[[Nr 1]:[Nr 2]],5,FALSE), INDEX(TBL_S2[Nr 1], MATCH(TBL_Rank[[#This Row],[Team Nr]],TBL_S2[Nr 2],0)))</f>
        <v>31</v>
      </c>
      <c r="H13" s="68">
        <f xml:space="preserve"> IFERROR(VLOOKUP(TBL_Rank[[#This Row],[Team Nr]],TBL_S3[[Nr 1]:[Nr 2]],5,FALSE), INDEX(TBL_S3[Nr 1], MATCH(TBL_Rank[[#This Row],[Team Nr]],TBL_S3[Nr 2],0)))</f>
        <v>24</v>
      </c>
      <c r="I13" s="67">
        <f xml:space="preserve"> IFERROR(VLOOKUP(TBL_Rank[[#This Row],[Team Nr]],TBL_S4[[Nr 1]:[Nr 2]],5,FALSE), INDEX(TBL_S4[Nr 1], MATCH(TBL_Rank[[#This Row],[Team Nr]],TBL_S4[Nr 2],0)))</f>
        <v>14</v>
      </c>
      <c r="J13" s="67">
        <f xml:space="preserve"> IFERROR(VLOOKUP(TBL_Rank[[#This Row],[Team Nr]],TBL_S5[[Nr 1]:[Nr 2]],5,FALSE), INDEX(TBL_S5[Nr 1], MATCH(TBL_Rank[[#This Row],[Team Nr]],TBL_S5[Nr 2],0)))</f>
        <v>26</v>
      </c>
      <c r="K13" s="66">
        <f xml:space="preserve"> IFERROR(VLOOKUP(TBL_Rank[[#This Row],[Team Nr]],TBL_S6[[Nr 1]:[Nr 2]],5,FALSE), INDEX(TBL_S6[Nr 1], MATCH(TBL_Rank[[#This Row],[Team Nr]],TBL_S6[Nr 2],0)))</f>
        <v>4</v>
      </c>
      <c r="L13" s="67">
        <f xml:space="preserve"> IFERROR(VLOOKUP(TBL_Rank[[#This Row],[Team Nr]],TBL_S7[[Nr 1]:[Nr 2]],5,FALSE), INDEX(TBL_S7[Nr 1], MATCH(TBL_Rank[[#This Row],[Team Nr]],TBL_S7[Nr 2],0)))</f>
        <v>46</v>
      </c>
      <c r="M13" s="68">
        <f xml:space="preserve"> IFERROR(VLOOKUP(TBL_Rank[[#This Row],[Team Nr]],TBL_S8[[Nr 1]:[Nr 2]],5,FALSE), INDEX(TBL_S8[Nr 1], MATCH(TBL_Rank[[#This Row],[Team Nr]],TBL_S8[Nr 2],0)))</f>
        <v>19</v>
      </c>
      <c r="N13" s="96">
        <f xml:space="preserve"> IFERROR(VLOOKUP(TBL_Rank[[#This Row],[Team Naam]],TBL_S1[["Thuis" ploeg (1)]:[VP 2]],8,FALSE), VLOOKUP(TBL_Rank[[#This Row],[Team Naam]],TBL_S1[["Uit" ploeg (2)]:[VP 2]],7,FALSE))</f>
        <v>12.3</v>
      </c>
      <c r="O13" s="57">
        <f xml:space="preserve"> IFERROR(VLOOKUP(TBL_Rank[[#This Row],[Team Naam]],TBL_S2[["Thuis" ploeg (1)]:[VP 2]],8,FALSE), VLOOKUP(TBL_Rank[[#This Row],[Team Naam]],TBL_S2[["Uit" ploeg (2)]:[VP 2]],7,FALSE))</f>
        <v>15.93</v>
      </c>
      <c r="P13" s="57">
        <f xml:space="preserve"> IFERROR(VLOOKUP(TBL_Rank[[#This Row],[Team Naam]],TBL_S3[["Thuis" ploeg (1)]:[VP 2]],8,FALSE), VLOOKUP(TBL_Rank[[#This Row],[Team Naam]],TBL_S3[["Uit" ploeg (2)]:[VP 2]],7,FALSE))</f>
        <v>7.02</v>
      </c>
      <c r="Q13" s="57">
        <f xml:space="preserve"> IFERROR(VLOOKUP(TBL_Rank[[#This Row],[Team Naam]],TBL_S4[["Thuis" ploeg (1)]:[VP 2]],8,FALSE), VLOOKUP(TBL_Rank[[#This Row],[Team Naam]],TBL_S4[["Uit" ploeg (2)]:[VP 2]],7,FALSE))</f>
        <v>16.8</v>
      </c>
      <c r="R13" s="57">
        <f xml:space="preserve"> IFERROR(VLOOKUP(TBL_Rank[[#This Row],[Team Naam]],TBL_S5[["Thuis" ploeg (1)]:[VP 2]],8,FALSE), VLOOKUP(TBL_Rank[[#This Row],[Team Naam]],TBL_S5[["Uit" ploeg (2)]:[VP 2]],7,FALSE))</f>
        <v>6.8000000000000007</v>
      </c>
      <c r="S13" s="57">
        <f xml:space="preserve"> IFERROR(VLOOKUP(TBL_Rank[[#This Row],[Team Naam]],TBL_S6[["Thuis" ploeg (1)]:[VP 2]],8,FALSE), VLOOKUP(TBL_Rank[[#This Row],[Team Naam]],TBL_S6[["Uit" ploeg (2)]:[VP 2]],7,FALSE))</f>
        <v>16.38</v>
      </c>
      <c r="T13" s="57">
        <f xml:space="preserve"> IFERROR(VLOOKUP(TBL_Rank[[#This Row],[Team Naam]],TBL_S7[["Thuis" ploeg (1)]:[VP 2]],8,FALSE), VLOOKUP(TBL_Rank[[#This Row],[Team Naam]],TBL_S7[["Uit" ploeg (2)]:[VP 2]],7,FALSE))</f>
        <v>15.11</v>
      </c>
      <c r="U13" s="75">
        <f xml:space="preserve"> IFERROR(VLOOKUP(TBL_Rank[[#This Row],[Team Naam]],TBL_S8[["Thuis" ploeg (1)]:[VP 2]],8,FALSE), VLOOKUP(TBL_Rank[[#This Row],[Team Naam]],TBL_S8[["Uit" ploeg (2)]:[VP 2]],7,FALSE))</f>
        <v>3.34</v>
      </c>
    </row>
    <row r="14" spans="2:21" x14ac:dyDescent="0.3">
      <c r="B14" s="72">
        <v>11</v>
      </c>
      <c r="C14" s="91">
        <v>40</v>
      </c>
      <c r="D14" s="92" t="str">
        <f xml:space="preserve"> VLOOKUP(TBL_Rank[[#This Row],[Team Nr]],TBL_Team[],2,FALSE)</f>
        <v>W8ebeke</v>
      </c>
      <c r="E14" s="101">
        <f xml:space="preserve"> SUM(TBL_Rank[[#This Row],[Speeldag 1]:[Speeldag 8]])</f>
        <v>92.949999999999989</v>
      </c>
      <c r="F14" s="68">
        <f xml:space="preserve"> IFERROR(VLOOKUP(TBL_Rank[[#This Row],[Team Nr]],TBL_S1[[Nr 1]:[Nr 2]],5,FALSE), INDEX(TBL_S1[Nr 1], MATCH(TBL_Rank[[#This Row],[Team Nr]],TBL_S1[Nr 2],0)))</f>
        <v>24</v>
      </c>
      <c r="G14" s="67">
        <f xml:space="preserve"> IFERROR(VLOOKUP(TBL_Rank[[#This Row],[Team Nr]],TBL_S2[[Nr 1]:[Nr 2]],5,FALSE), INDEX(TBL_S2[Nr 1], MATCH(TBL_Rank[[#This Row],[Team Nr]],TBL_S2[Nr 2],0)))</f>
        <v>22</v>
      </c>
      <c r="H14" s="68">
        <f xml:space="preserve"> IFERROR(VLOOKUP(TBL_Rank[[#This Row],[Team Nr]],TBL_S3[[Nr 1]:[Nr 2]],5,FALSE), INDEX(TBL_S3[Nr 1], MATCH(TBL_Rank[[#This Row],[Team Nr]],TBL_S3[Nr 2],0)))</f>
        <v>20</v>
      </c>
      <c r="I14" s="67">
        <f xml:space="preserve"> IFERROR(VLOOKUP(TBL_Rank[[#This Row],[Team Nr]],TBL_S4[[Nr 1]:[Nr 2]],5,FALSE), INDEX(TBL_S4[Nr 1], MATCH(TBL_Rank[[#This Row],[Team Nr]],TBL_S4[Nr 2],0)))</f>
        <v>33</v>
      </c>
      <c r="J14" s="67">
        <f xml:space="preserve"> IFERROR(VLOOKUP(TBL_Rank[[#This Row],[Team Nr]],TBL_S5[[Nr 1]:[Nr 2]],5,FALSE), INDEX(TBL_S5[Nr 1], MATCH(TBL_Rank[[#This Row],[Team Nr]],TBL_S5[Nr 2],0)))</f>
        <v>30</v>
      </c>
      <c r="K14" s="66">
        <f xml:space="preserve"> IFERROR(VLOOKUP(TBL_Rank[[#This Row],[Team Nr]],TBL_S6[[Nr 1]:[Nr 2]],5,FALSE), INDEX(TBL_S6[Nr 1], MATCH(TBL_Rank[[#This Row],[Team Nr]],TBL_S6[Nr 2],0)))</f>
        <v>45</v>
      </c>
      <c r="L14" s="67">
        <f xml:space="preserve"> IFERROR(VLOOKUP(TBL_Rank[[#This Row],[Team Nr]],TBL_S7[[Nr 1]:[Nr 2]],5,FALSE), INDEX(TBL_S7[Nr 1], MATCH(TBL_Rank[[#This Row],[Team Nr]],TBL_S7[Nr 2],0)))</f>
        <v>3</v>
      </c>
      <c r="M14" s="68">
        <f xml:space="preserve"> IFERROR(VLOOKUP(TBL_Rank[[#This Row],[Team Nr]],TBL_S8[[Nr 1]:[Nr 2]],5,FALSE), INDEX(TBL_S8[Nr 1], MATCH(TBL_Rank[[#This Row],[Team Nr]],TBL_S8[Nr 2],0)))</f>
        <v>42</v>
      </c>
      <c r="N14" s="96">
        <f xml:space="preserve"> IFERROR(VLOOKUP(TBL_Rank[[#This Row],[Team Naam]],TBL_S1[["Thuis" ploeg (1)]:[VP 2]],8,FALSE), VLOOKUP(TBL_Rank[[#This Row],[Team Naam]],TBL_S1[["Uit" ploeg (2)]:[VP 2]],7,FALSE))</f>
        <v>8.66</v>
      </c>
      <c r="O14" s="57">
        <f xml:space="preserve"> IFERROR(VLOOKUP(TBL_Rank[[#This Row],[Team Naam]],TBL_S2[["Thuis" ploeg (1)]:[VP 2]],8,FALSE), VLOOKUP(TBL_Rank[[#This Row],[Team Naam]],TBL_S2[["Uit" ploeg (2)]:[VP 2]],7,FALSE))</f>
        <v>5.6099999999999994</v>
      </c>
      <c r="P14" s="57">
        <f xml:space="preserve"> IFERROR(VLOOKUP(TBL_Rank[[#This Row],[Team Naam]],TBL_S3[["Thuis" ploeg (1)]:[VP 2]],8,FALSE), VLOOKUP(TBL_Rank[[#This Row],[Team Naam]],TBL_S3[["Uit" ploeg (2)]:[VP 2]],7,FALSE))</f>
        <v>13.41</v>
      </c>
      <c r="Q14" s="57">
        <f xml:space="preserve"> IFERROR(VLOOKUP(TBL_Rank[[#This Row],[Team Naam]],TBL_S4[["Thuis" ploeg (1)]:[VP 2]],8,FALSE), VLOOKUP(TBL_Rank[[#This Row],[Team Naam]],TBL_S4[["Uit" ploeg (2)]:[VP 2]],7,FALSE))</f>
        <v>17.059999999999999</v>
      </c>
      <c r="R14" s="57">
        <f xml:space="preserve"> IFERROR(VLOOKUP(TBL_Rank[[#This Row],[Team Naam]],TBL_S5[["Thuis" ploeg (1)]:[VP 2]],8,FALSE), VLOOKUP(TBL_Rank[[#This Row],[Team Naam]],TBL_S5[["Uit" ploeg (2)]:[VP 2]],7,FALSE))</f>
        <v>8.17</v>
      </c>
      <c r="S14" s="57">
        <f xml:space="preserve"> IFERROR(VLOOKUP(TBL_Rank[[#This Row],[Team Naam]],TBL_S6[["Thuis" ploeg (1)]:[VP 2]],8,FALSE), VLOOKUP(TBL_Rank[[#This Row],[Team Naam]],TBL_S6[["Uit" ploeg (2)]:[VP 2]],7,FALSE))</f>
        <v>16.8</v>
      </c>
      <c r="T14" s="57">
        <f xml:space="preserve"> IFERROR(VLOOKUP(TBL_Rank[[#This Row],[Team Naam]],TBL_S7[["Thuis" ploeg (1)]:[VP 2]],8,FALSE), VLOOKUP(TBL_Rank[[#This Row],[Team Naam]],TBL_S7[["Uit" ploeg (2)]:[VP 2]],7,FALSE))</f>
        <v>15.77</v>
      </c>
      <c r="U14" s="75">
        <f xml:space="preserve"> IFERROR(VLOOKUP(TBL_Rank[[#This Row],[Team Naam]],TBL_S8[["Thuis" ploeg (1)]:[VP 2]],8,FALSE), VLOOKUP(TBL_Rank[[#This Row],[Team Naam]],TBL_S8[["Uit" ploeg (2)]:[VP 2]],7,FALSE))</f>
        <v>7.4700000000000006</v>
      </c>
    </row>
    <row r="15" spans="2:21" x14ac:dyDescent="0.3">
      <c r="B15" s="99">
        <v>12</v>
      </c>
      <c r="C15" s="91">
        <v>17</v>
      </c>
      <c r="D15" s="92" t="str">
        <f xml:space="preserve"> VLOOKUP(TBL_Rank[[#This Row],[Team Nr]],TBL_Team[],2,FALSE)</f>
        <v>Heusden 4</v>
      </c>
      <c r="E15" s="102">
        <f xml:space="preserve"> SUM(TBL_Rank[[#This Row],[Speeldag 1]:[Speeldag 8]])</f>
        <v>92.73</v>
      </c>
      <c r="F15" s="68">
        <f xml:space="preserve"> IFERROR(VLOOKUP(TBL_Rank[[#This Row],[Team Nr]],TBL_S1[[Nr 1]:[Nr 2]],5,FALSE), INDEX(TBL_S1[Nr 1], MATCH(TBL_Rank[[#This Row],[Team Nr]],TBL_S1[Nr 2],0)))</f>
        <v>2</v>
      </c>
      <c r="G15" s="67">
        <f xml:space="preserve"> IFERROR(VLOOKUP(TBL_Rank[[#This Row],[Team Nr]],TBL_S2[[Nr 1]:[Nr 2]],5,FALSE), INDEX(TBL_S2[Nr 1], MATCH(TBL_Rank[[#This Row],[Team Nr]],TBL_S2[Nr 2],0)))</f>
        <v>3</v>
      </c>
      <c r="H15" s="68">
        <f xml:space="preserve"> IFERROR(VLOOKUP(TBL_Rank[[#This Row],[Team Nr]],TBL_S3[[Nr 1]:[Nr 2]],5,FALSE), INDEX(TBL_S3[Nr 1], MATCH(TBL_Rank[[#This Row],[Team Nr]],TBL_S3[Nr 2],0)))</f>
        <v>13</v>
      </c>
      <c r="I15" s="67">
        <f xml:space="preserve"> IFERROR(VLOOKUP(TBL_Rank[[#This Row],[Team Nr]],TBL_S4[[Nr 1]:[Nr 2]],5,FALSE), INDEX(TBL_S4[Nr 1], MATCH(TBL_Rank[[#This Row],[Team Nr]],TBL_S4[Nr 2],0)))</f>
        <v>23</v>
      </c>
      <c r="J15" s="67">
        <f xml:space="preserve"> IFERROR(VLOOKUP(TBL_Rank[[#This Row],[Team Nr]],TBL_S5[[Nr 1]:[Nr 2]],5,FALSE), INDEX(TBL_S5[Nr 1], MATCH(TBL_Rank[[#This Row],[Team Nr]],TBL_S5[Nr 2],0)))</f>
        <v>34</v>
      </c>
      <c r="K15" s="66">
        <f xml:space="preserve"> IFERROR(VLOOKUP(TBL_Rank[[#This Row],[Team Nr]],TBL_S6[[Nr 1]:[Nr 2]],5,FALSE), INDEX(TBL_S6[Nr 1], MATCH(TBL_Rank[[#This Row],[Team Nr]],TBL_S6[Nr 2],0)))</f>
        <v>33</v>
      </c>
      <c r="L15" s="67">
        <f xml:space="preserve"> IFERROR(VLOOKUP(TBL_Rank[[#This Row],[Team Nr]],TBL_S7[[Nr 1]:[Nr 2]],5,FALSE), INDEX(TBL_S7[Nr 1], MATCH(TBL_Rank[[#This Row],[Team Nr]],TBL_S7[Nr 2],0)))</f>
        <v>4</v>
      </c>
      <c r="M15" s="68">
        <f xml:space="preserve"> IFERROR(VLOOKUP(TBL_Rank[[#This Row],[Team Nr]],TBL_S8[[Nr 1]:[Nr 2]],5,FALSE), INDEX(TBL_S8[Nr 1], MATCH(TBL_Rank[[#This Row],[Team Nr]],TBL_S8[Nr 2],0)))</f>
        <v>46</v>
      </c>
      <c r="N15" s="97">
        <f xml:space="preserve"> IFERROR(VLOOKUP(TBL_Rank[[#This Row],[Team Naam]],TBL_S1[["Thuis" ploeg (1)]:[VP 2]],8,FALSE), VLOOKUP(TBL_Rank[[#This Row],[Team Naam]],TBL_S1[["Uit" ploeg (2)]:[VP 2]],7,FALSE))</f>
        <v>4.2300000000000004</v>
      </c>
      <c r="O15" s="57">
        <f xml:space="preserve"> IFERROR(VLOOKUP(TBL_Rank[[#This Row],[Team Naam]],TBL_S2[["Thuis" ploeg (1)]:[VP 2]],8,FALSE), VLOOKUP(TBL_Rank[[#This Row],[Team Naam]],TBL_S2[["Uit" ploeg (2)]:[VP 2]],7,FALSE))</f>
        <v>17.559999999999999</v>
      </c>
      <c r="P15" s="57">
        <f xml:space="preserve"> IFERROR(VLOOKUP(TBL_Rank[[#This Row],[Team Naam]],TBL_S3[["Thuis" ploeg (1)]:[VP 2]],8,FALSE), VLOOKUP(TBL_Rank[[#This Row],[Team Naam]],TBL_S3[["Uit" ploeg (2)]:[VP 2]],7,FALSE))</f>
        <v>10</v>
      </c>
      <c r="Q15" s="57">
        <f xml:space="preserve"> IFERROR(VLOOKUP(TBL_Rank[[#This Row],[Team Naam]],TBL_S4[["Thuis" ploeg (1)]:[VP 2]],8,FALSE), VLOOKUP(TBL_Rank[[#This Row],[Team Naam]],TBL_S4[["Uit" ploeg (2)]:[VP 2]],7,FALSE))</f>
        <v>4.7200000000000006</v>
      </c>
      <c r="R15" s="57">
        <f xml:space="preserve"> IFERROR(VLOOKUP(TBL_Rank[[#This Row],[Team Naam]],TBL_S5[["Thuis" ploeg (1)]:[VP 2]],8,FALSE), VLOOKUP(TBL_Rank[[#This Row],[Team Naam]],TBL_S5[["Uit" ploeg (2)]:[VP 2]],7,FALSE))</f>
        <v>12.76</v>
      </c>
      <c r="S15" s="57">
        <f xml:space="preserve"> IFERROR(VLOOKUP(TBL_Rank[[#This Row],[Team Naam]],TBL_S6[["Thuis" ploeg (1)]:[VP 2]],8,FALSE), VLOOKUP(TBL_Rank[[#This Row],[Team Naam]],TBL_S6[["Uit" ploeg (2)]:[VP 2]],7,FALSE))</f>
        <v>13.2</v>
      </c>
      <c r="T15" s="57">
        <f xml:space="preserve"> IFERROR(VLOOKUP(TBL_Rank[[#This Row],[Team Naam]],TBL_S7[["Thuis" ploeg (1)]:[VP 2]],8,FALSE), VLOOKUP(TBL_Rank[[#This Row],[Team Naam]],TBL_S7[["Uit" ploeg (2)]:[VP 2]],7,FALSE))</f>
        <v>17.059999999999999</v>
      </c>
      <c r="U15" s="75">
        <f xml:space="preserve"> IFERROR(VLOOKUP(TBL_Rank[[#This Row],[Team Naam]],TBL_S8[["Thuis" ploeg (1)]:[VP 2]],8,FALSE), VLOOKUP(TBL_Rank[[#This Row],[Team Naam]],TBL_S8[["Uit" ploeg (2)]:[VP 2]],7,FALSE))</f>
        <v>13.2</v>
      </c>
    </row>
    <row r="16" spans="2:21" x14ac:dyDescent="0.3">
      <c r="B16" s="72">
        <v>13</v>
      </c>
      <c r="C16" s="91">
        <v>28</v>
      </c>
      <c r="D16" s="92" t="str">
        <f xml:space="preserve"> VLOOKUP(TBL_Rank[[#This Row],[Team Nr]],TBL_Team[],2,FALSE)</f>
        <v>Essense 2</v>
      </c>
      <c r="E16" s="102">
        <f xml:space="preserve"> SUM(TBL_Rank[[#This Row],[Speeldag 1]:[Speeldag 8]])</f>
        <v>91.009999999999991</v>
      </c>
      <c r="F16" s="68">
        <f xml:space="preserve"> IFERROR(VLOOKUP(TBL_Rank[[#This Row],[Team Nr]],TBL_S1[[Nr 1]:[Nr 2]],5,FALSE), INDEX(TBL_S1[Nr 1], MATCH(TBL_Rank[[#This Row],[Team Nr]],TBL_S1[Nr 2],0)))</f>
        <v>15</v>
      </c>
      <c r="G16" s="67">
        <f xml:space="preserve"> IFERROR(VLOOKUP(TBL_Rank[[#This Row],[Team Nr]],TBL_S2[[Nr 1]:[Nr 2]],5,FALSE), INDEX(TBL_S2[Nr 1], MATCH(TBL_Rank[[#This Row],[Team Nr]],TBL_S2[Nr 2],0)))</f>
        <v>39</v>
      </c>
      <c r="H16" s="68">
        <f xml:space="preserve"> IFERROR(VLOOKUP(TBL_Rank[[#This Row],[Team Nr]],TBL_S3[[Nr 1]:[Nr 2]],5,FALSE), INDEX(TBL_S3[Nr 1], MATCH(TBL_Rank[[#This Row],[Team Nr]],TBL_S3[Nr 2],0)))</f>
        <v>4</v>
      </c>
      <c r="I16" s="67">
        <f xml:space="preserve"> IFERROR(VLOOKUP(TBL_Rank[[#This Row],[Team Nr]],TBL_S4[[Nr 1]:[Nr 2]],5,FALSE), INDEX(TBL_S4[Nr 1], MATCH(TBL_Rank[[#This Row],[Team Nr]],TBL_S4[Nr 2],0)))</f>
        <v>16</v>
      </c>
      <c r="J16" s="67">
        <f xml:space="preserve"> IFERROR(VLOOKUP(TBL_Rank[[#This Row],[Team Nr]],TBL_S5[[Nr 1]:[Nr 2]],5,FALSE), INDEX(TBL_S5[Nr 1], MATCH(TBL_Rank[[#This Row],[Team Nr]],TBL_S5[Nr 2],0)))</f>
        <v>7</v>
      </c>
      <c r="K16" s="66">
        <f xml:space="preserve"> IFERROR(VLOOKUP(TBL_Rank[[#This Row],[Team Nr]],TBL_S6[[Nr 1]:[Nr 2]],5,FALSE), INDEX(TBL_S6[Nr 1], MATCH(TBL_Rank[[#This Row],[Team Nr]],TBL_S6[Nr 2],0)))</f>
        <v>46</v>
      </c>
      <c r="L16" s="67">
        <f xml:space="preserve"> IFERROR(VLOOKUP(TBL_Rank[[#This Row],[Team Nr]],TBL_S7[[Nr 1]:[Nr 2]],5,FALSE), INDEX(TBL_S7[Nr 1], MATCH(TBL_Rank[[#This Row],[Team Nr]],TBL_S7[Nr 2],0)))</f>
        <v>31</v>
      </c>
      <c r="M16" s="68">
        <f xml:space="preserve"> IFERROR(VLOOKUP(TBL_Rank[[#This Row],[Team Nr]],TBL_S8[[Nr 1]:[Nr 2]],5,FALSE), INDEX(TBL_S8[Nr 1], MATCH(TBL_Rank[[#This Row],[Team Nr]],TBL_S8[Nr 2],0)))</f>
        <v>5</v>
      </c>
      <c r="N16" s="97">
        <f xml:space="preserve"> IFERROR(VLOOKUP(TBL_Rank[[#This Row],[Team Naam]],TBL_S1[["Thuis" ploeg (1)]:[VP 2]],8,FALSE), VLOOKUP(TBL_Rank[[#This Row],[Team Naam]],TBL_S1[["Uit" ploeg (2)]:[VP 2]],7,FALSE))</f>
        <v>17.79</v>
      </c>
      <c r="O16" s="57">
        <f xml:space="preserve"> IFERROR(VLOOKUP(TBL_Rank[[#This Row],[Team Naam]],TBL_S2[["Thuis" ploeg (1)]:[VP 2]],8,FALSE), VLOOKUP(TBL_Rank[[#This Row],[Team Naam]],TBL_S2[["Uit" ploeg (2)]:[VP 2]],7,FALSE))</f>
        <v>18.43</v>
      </c>
      <c r="P16" s="57">
        <f xml:space="preserve"> IFERROR(VLOOKUP(TBL_Rank[[#This Row],[Team Naam]],TBL_S3[["Thuis" ploeg (1)]:[VP 2]],8,FALSE), VLOOKUP(TBL_Rank[[#This Row],[Team Naam]],TBL_S3[["Uit" ploeg (2)]:[VP 2]],7,FALSE))</f>
        <v>11.83</v>
      </c>
      <c r="Q16" s="57">
        <f xml:space="preserve"> IFERROR(VLOOKUP(TBL_Rank[[#This Row],[Team Naam]],TBL_S4[["Thuis" ploeg (1)]:[VP 2]],8,FALSE), VLOOKUP(TBL_Rank[[#This Row],[Team Naam]],TBL_S4[["Uit" ploeg (2)]:[VP 2]],7,FALSE))</f>
        <v>4.5500000000000007</v>
      </c>
      <c r="R16" s="57">
        <f xml:space="preserve"> IFERROR(VLOOKUP(TBL_Rank[[#This Row],[Team Naam]],TBL_S5[["Thuis" ploeg (1)]:[VP 2]],8,FALSE), VLOOKUP(TBL_Rank[[#This Row],[Team Naam]],TBL_S5[["Uit" ploeg (2)]:[VP 2]],7,FALSE))</f>
        <v>6.8000000000000007</v>
      </c>
      <c r="S16" s="57">
        <f xml:space="preserve"> IFERROR(VLOOKUP(TBL_Rank[[#This Row],[Team Naam]],TBL_S6[["Thuis" ploeg (1)]:[VP 2]],8,FALSE), VLOOKUP(TBL_Rank[[#This Row],[Team Naam]],TBL_S6[["Uit" ploeg (2)]:[VP 2]],7,FALSE))</f>
        <v>3.620000000000001</v>
      </c>
      <c r="T16" s="57">
        <f xml:space="preserve"> IFERROR(VLOOKUP(TBL_Rank[[#This Row],[Team Naam]],TBL_S7[["Thuis" ploeg (1)]:[VP 2]],8,FALSE), VLOOKUP(TBL_Rank[[#This Row],[Team Naam]],TBL_S7[["Uit" ploeg (2)]:[VP 2]],7,FALSE))</f>
        <v>14.58</v>
      </c>
      <c r="U16" s="75">
        <f xml:space="preserve"> IFERROR(VLOOKUP(TBL_Rank[[#This Row],[Team Naam]],TBL_S8[["Thuis" ploeg (1)]:[VP 2]],8,FALSE), VLOOKUP(TBL_Rank[[#This Row],[Team Naam]],TBL_S8[["Uit" ploeg (2)]:[VP 2]],7,FALSE))</f>
        <v>13.41</v>
      </c>
    </row>
    <row r="17" spans="2:21" x14ac:dyDescent="0.3">
      <c r="B17" s="72">
        <v>14</v>
      </c>
      <c r="C17" s="91">
        <v>20</v>
      </c>
      <c r="D17" s="92" t="str">
        <f xml:space="preserve"> VLOOKUP(TBL_Rank[[#This Row],[Team Nr]],TBL_Team[],2,FALSE)</f>
        <v>Bee 2</v>
      </c>
      <c r="E17" s="102">
        <f xml:space="preserve"> SUM(TBL_Rank[[#This Row],[Speeldag 1]:[Speeldag 8]])</f>
        <v>90.77</v>
      </c>
      <c r="F17" s="68">
        <f xml:space="preserve"> IFERROR(VLOOKUP(TBL_Rank[[#This Row],[Team Nr]],TBL_S1[[Nr 1]:[Nr 2]],5,FALSE), INDEX(TBL_S1[Nr 1], MATCH(TBL_Rank[[#This Row],[Team Nr]],TBL_S1[Nr 2],0)))</f>
        <v>5</v>
      </c>
      <c r="G17" s="67">
        <f xml:space="preserve"> IFERROR(VLOOKUP(TBL_Rank[[#This Row],[Team Nr]],TBL_S2[[Nr 1]:[Nr 2]],5,FALSE), INDEX(TBL_S2[Nr 1], MATCH(TBL_Rank[[#This Row],[Team Nr]],TBL_S2[Nr 2],0)))</f>
        <v>1</v>
      </c>
      <c r="H17" s="68">
        <f xml:space="preserve"> IFERROR(VLOOKUP(TBL_Rank[[#This Row],[Team Nr]],TBL_S3[[Nr 1]:[Nr 2]],5,FALSE), INDEX(TBL_S3[Nr 1], MATCH(TBL_Rank[[#This Row],[Team Nr]],TBL_S3[Nr 2],0)))</f>
        <v>40</v>
      </c>
      <c r="I17" s="67">
        <f xml:space="preserve"> IFERROR(VLOOKUP(TBL_Rank[[#This Row],[Team Nr]],TBL_S4[[Nr 1]:[Nr 2]],5,FALSE), INDEX(TBL_S4[Nr 1], MATCH(TBL_Rank[[#This Row],[Team Nr]],TBL_S4[Nr 2],0)))</f>
        <v>25</v>
      </c>
      <c r="J17" s="67">
        <f xml:space="preserve"> IFERROR(VLOOKUP(TBL_Rank[[#This Row],[Team Nr]],TBL_S5[[Nr 1]:[Nr 2]],5,FALSE), INDEX(TBL_S5[Nr 1], MATCH(TBL_Rank[[#This Row],[Team Nr]],TBL_S5[Nr 2],0)))</f>
        <v>14</v>
      </c>
      <c r="K17" s="66">
        <f xml:space="preserve"> IFERROR(VLOOKUP(TBL_Rank[[#This Row],[Team Nr]],TBL_S6[[Nr 1]:[Nr 2]],5,FALSE), INDEX(TBL_S6[Nr 1], MATCH(TBL_Rank[[#This Row],[Team Nr]],TBL_S6[Nr 2],0)))</f>
        <v>24</v>
      </c>
      <c r="L17" s="67">
        <f xml:space="preserve"> IFERROR(VLOOKUP(TBL_Rank[[#This Row],[Team Nr]],TBL_S7[[Nr 1]:[Nr 2]],5,FALSE), INDEX(TBL_S7[Nr 1], MATCH(TBL_Rank[[#This Row],[Team Nr]],TBL_S7[Nr 2],0)))</f>
        <v>11</v>
      </c>
      <c r="M17" s="68">
        <f xml:space="preserve"> IFERROR(VLOOKUP(TBL_Rank[[#This Row],[Team Nr]],TBL_S8[[Nr 1]:[Nr 2]],5,FALSE), INDEX(TBL_S8[Nr 1], MATCH(TBL_Rank[[#This Row],[Team Nr]],TBL_S8[Nr 2],0)))</f>
        <v>29</v>
      </c>
      <c r="N17" s="97">
        <f xml:space="preserve"> IFERROR(VLOOKUP(TBL_Rank[[#This Row],[Team Naam]],TBL_S1[["Thuis" ploeg (1)]:[VP 2]],8,FALSE), VLOOKUP(TBL_Rank[[#This Row],[Team Naam]],TBL_S1[["Uit" ploeg (2)]:[VP 2]],7,FALSE))</f>
        <v>6.3900000000000006</v>
      </c>
      <c r="O17" s="57">
        <f xml:space="preserve"> IFERROR(VLOOKUP(TBL_Rank[[#This Row],[Team Naam]],TBL_S2[["Thuis" ploeg (1)]:[VP 2]],8,FALSE), VLOOKUP(TBL_Rank[[#This Row],[Team Naam]],TBL_S2[["Uit" ploeg (2)]:[VP 2]],7,FALSE))</f>
        <v>7.4700000000000006</v>
      </c>
      <c r="P17" s="57">
        <f xml:space="preserve"> IFERROR(VLOOKUP(TBL_Rank[[#This Row],[Team Naam]],TBL_S3[["Thuis" ploeg (1)]:[VP 2]],8,FALSE), VLOOKUP(TBL_Rank[[#This Row],[Team Naam]],TBL_S3[["Uit" ploeg (2)]:[VP 2]],7,FALSE))</f>
        <v>6.59</v>
      </c>
      <c r="Q17" s="57">
        <f xml:space="preserve"> IFERROR(VLOOKUP(TBL_Rank[[#This Row],[Team Naam]],TBL_S4[["Thuis" ploeg (1)]:[VP 2]],8,FALSE), VLOOKUP(TBL_Rank[[#This Row],[Team Naam]],TBL_S4[["Uit" ploeg (2)]:[VP 2]],7,FALSE))</f>
        <v>13.41</v>
      </c>
      <c r="R17" s="57">
        <f xml:space="preserve"> IFERROR(VLOOKUP(TBL_Rank[[#This Row],[Team Naam]],TBL_S5[["Thuis" ploeg (1)]:[VP 2]],8,FALSE), VLOOKUP(TBL_Rank[[#This Row],[Team Naam]],TBL_S5[["Uit" ploeg (2)]:[VP 2]],7,FALSE))</f>
        <v>17.899999999999999</v>
      </c>
      <c r="S17" s="57">
        <f xml:space="preserve"> IFERROR(VLOOKUP(TBL_Rank[[#This Row],[Team Naam]],TBL_S6[["Thuis" ploeg (1)]:[VP 2]],8,FALSE), VLOOKUP(TBL_Rank[[#This Row],[Team Naam]],TBL_S6[["Uit" ploeg (2)]:[VP 2]],7,FALSE))</f>
        <v>14.01</v>
      </c>
      <c r="T17" s="57">
        <f xml:space="preserve"> IFERROR(VLOOKUP(TBL_Rank[[#This Row],[Team Naam]],TBL_S7[["Thuis" ploeg (1)]:[VP 2]],8,FALSE), VLOOKUP(TBL_Rank[[#This Row],[Team Naam]],TBL_S7[["Uit" ploeg (2)]:[VP 2]],7,FALSE))</f>
        <v>11.59</v>
      </c>
      <c r="U17" s="75">
        <f xml:space="preserve"> IFERROR(VLOOKUP(TBL_Rank[[#This Row],[Team Naam]],TBL_S8[["Thuis" ploeg (1)]:[VP 2]],8,FALSE), VLOOKUP(TBL_Rank[[#This Row],[Team Naam]],TBL_S8[["Uit" ploeg (2)]:[VP 2]],7,FALSE))</f>
        <v>13.41</v>
      </c>
    </row>
    <row r="18" spans="2:21" x14ac:dyDescent="0.3">
      <c r="B18" s="99">
        <v>15</v>
      </c>
      <c r="C18" s="91">
        <v>5</v>
      </c>
      <c r="D18" s="95" t="str">
        <f xml:space="preserve"> VLOOKUP(TBL_Rank[[#This Row],[Team Nr]],TBL_Team[],2,FALSE)</f>
        <v>De Wevers</v>
      </c>
      <c r="E18" s="101">
        <f xml:space="preserve"> SUM(TBL_Rank[[#This Row],[Speeldag 1]:[Speeldag 8]])</f>
        <v>88.64</v>
      </c>
      <c r="F18" s="66">
        <f xml:space="preserve"> IFERROR(VLOOKUP(TBL_Rank[[#This Row],[Team Nr]],TBL_S1[[Nr 1]:[Nr 2]],5,FALSE), INDEX(TBL_S1[Nr 1], MATCH(TBL_Rank[[#This Row],[Team Nr]],TBL_S1[Nr 2],0)))</f>
        <v>20</v>
      </c>
      <c r="G18" s="65">
        <f xml:space="preserve"> IFERROR(VLOOKUP(TBL_Rank[[#This Row],[Team Nr]],TBL_S2[[Nr 1]:[Nr 2]],5,FALSE), INDEX(TBL_S2[Nr 1], MATCH(TBL_Rank[[#This Row],[Team Nr]],TBL_S2[Nr 2],0)))</f>
        <v>34</v>
      </c>
      <c r="H18" s="66">
        <f xml:space="preserve"> IFERROR(VLOOKUP(TBL_Rank[[#This Row],[Team Nr]],TBL_S3[[Nr 1]:[Nr 2]],5,FALSE), INDEX(TBL_S3[Nr 1], MATCH(TBL_Rank[[#This Row],[Team Nr]],TBL_S3[Nr 2],0)))</f>
        <v>23</v>
      </c>
      <c r="I18" s="65">
        <f xml:space="preserve"> IFERROR(VLOOKUP(TBL_Rank[[#This Row],[Team Nr]],TBL_S4[[Nr 1]:[Nr 2]],5,FALSE), INDEX(TBL_S4[Nr 1], MATCH(TBL_Rank[[#This Row],[Team Nr]],TBL_S4[Nr 2],0)))</f>
        <v>46</v>
      </c>
      <c r="J18" s="65">
        <f xml:space="preserve"> IFERROR(VLOOKUP(TBL_Rank[[#This Row],[Team Nr]],TBL_S5[[Nr 1]:[Nr 2]],5,FALSE), INDEX(TBL_S5[Nr 1], MATCH(TBL_Rank[[#This Row],[Team Nr]],TBL_S5[Nr 2],0)))</f>
        <v>35</v>
      </c>
      <c r="K18" s="66">
        <f xml:space="preserve"> IFERROR(VLOOKUP(TBL_Rank[[#This Row],[Team Nr]],TBL_S6[[Nr 1]:[Nr 2]],5,FALSE), INDEX(TBL_S6[Nr 1], MATCH(TBL_Rank[[#This Row],[Team Nr]],TBL_S6[Nr 2],0)))</f>
        <v>30</v>
      </c>
      <c r="L18" s="67">
        <f xml:space="preserve"> IFERROR(VLOOKUP(TBL_Rank[[#This Row],[Team Nr]],TBL_S7[[Nr 1]:[Nr 2]],5,FALSE), INDEX(TBL_S7[Nr 1], MATCH(TBL_Rank[[#This Row],[Team Nr]],TBL_S7[Nr 2],0)))</f>
        <v>2</v>
      </c>
      <c r="M18" s="68">
        <f xml:space="preserve"> IFERROR(VLOOKUP(TBL_Rank[[#This Row],[Team Nr]],TBL_S8[[Nr 1]:[Nr 2]],5,FALSE), INDEX(TBL_S8[Nr 1], MATCH(TBL_Rank[[#This Row],[Team Nr]],TBL_S8[Nr 2],0)))</f>
        <v>28</v>
      </c>
      <c r="N18" s="96">
        <f xml:space="preserve"> IFERROR(VLOOKUP(TBL_Rank[[#This Row],[Team Naam]],TBL_S1[["Thuis" ploeg (1)]:[VP 2]],8,FALSE), VLOOKUP(TBL_Rank[[#This Row],[Team Naam]],TBL_S1[["Uit" ploeg (2)]:[VP 2]],7,FALSE))</f>
        <v>13.61</v>
      </c>
      <c r="O18" s="23">
        <f xml:space="preserve"> IFERROR(VLOOKUP(TBL_Rank[[#This Row],[Team Naam]],TBL_S2[["Thuis" ploeg (1)]:[VP 2]],8,FALSE), VLOOKUP(TBL_Rank[[#This Row],[Team Naam]],TBL_S2[["Uit" ploeg (2)]:[VP 2]],7,FALSE))</f>
        <v>8.92</v>
      </c>
      <c r="P18" s="23">
        <f xml:space="preserve"> IFERROR(VLOOKUP(TBL_Rank[[#This Row],[Team Naam]],TBL_S3[["Thuis" ploeg (1)]:[VP 2]],8,FALSE), VLOOKUP(TBL_Rank[[#This Row],[Team Naam]],TBL_S3[["Uit" ploeg (2)]:[VP 2]],7,FALSE))</f>
        <v>12.76</v>
      </c>
      <c r="Q18" s="23">
        <f xml:space="preserve"> IFERROR(VLOOKUP(TBL_Rank[[#This Row],[Team Naam]],TBL_S4[["Thuis" ploeg (1)]:[VP 2]],8,FALSE), VLOOKUP(TBL_Rank[[#This Row],[Team Naam]],TBL_S4[["Uit" ploeg (2)]:[VP 2]],7,FALSE))</f>
        <v>10.28</v>
      </c>
      <c r="R18" s="23">
        <f xml:space="preserve"> IFERROR(VLOOKUP(TBL_Rank[[#This Row],[Team Naam]],TBL_S5[["Thuis" ploeg (1)]:[VP 2]],8,FALSE), VLOOKUP(TBL_Rank[[#This Row],[Team Naam]],TBL_S5[["Uit" ploeg (2)]:[VP 2]],7,FALSE))</f>
        <v>10.82</v>
      </c>
      <c r="S18" s="23">
        <f xml:space="preserve"> IFERROR(VLOOKUP(TBL_Rank[[#This Row],[Team Naam]],TBL_S6[["Thuis" ploeg (1)]:[VP 2]],8,FALSE), VLOOKUP(TBL_Rank[[#This Row],[Team Naam]],TBL_S6[["Uit" ploeg (2)]:[VP 2]],7,FALSE))</f>
        <v>14.58</v>
      </c>
      <c r="T18" s="23">
        <f xml:space="preserve"> IFERROR(VLOOKUP(TBL_Rank[[#This Row],[Team Naam]],TBL_S7[["Thuis" ploeg (1)]:[VP 2]],8,FALSE), VLOOKUP(TBL_Rank[[#This Row],[Team Naam]],TBL_S7[["Uit" ploeg (2)]:[VP 2]],7,FALSE))</f>
        <v>11.08</v>
      </c>
      <c r="U18" s="74">
        <f xml:space="preserve"> IFERROR(VLOOKUP(TBL_Rank[[#This Row],[Team Naam]],TBL_S8[["Thuis" ploeg (1)]:[VP 2]],8,FALSE), VLOOKUP(TBL_Rank[[#This Row],[Team Naam]],TBL_S8[["Uit" ploeg (2)]:[VP 2]],7,FALSE))</f>
        <v>6.59</v>
      </c>
    </row>
    <row r="19" spans="2:21" x14ac:dyDescent="0.3">
      <c r="B19" s="72">
        <v>16</v>
      </c>
      <c r="C19" s="91">
        <v>2</v>
      </c>
      <c r="D19" s="95" t="str">
        <f xml:space="preserve"> VLOOKUP(TBL_Rank[[#This Row],[Team Nr]],TBL_Team[],2,FALSE)</f>
        <v>G.L.A.M.</v>
      </c>
      <c r="E19" s="101">
        <f xml:space="preserve"> SUM(TBL_Rank[[#This Row],[Speeldag 1]:[Speeldag 8]])</f>
        <v>87.54</v>
      </c>
      <c r="F19" s="66">
        <f xml:space="preserve"> IFERROR(VLOOKUP(TBL_Rank[[#This Row],[Team Nr]],TBL_S1[[Nr 1]:[Nr 2]],5,FALSE), INDEX(TBL_S1[Nr 1], MATCH(TBL_Rank[[#This Row],[Team Nr]],TBL_S1[Nr 2],0)))</f>
        <v>17</v>
      </c>
      <c r="G19" s="65">
        <f xml:space="preserve"> IFERROR(VLOOKUP(TBL_Rank[[#This Row],[Team Nr]],TBL_S2[[Nr 1]:[Nr 2]],5,FALSE), INDEX(TBL_S2[Nr 1], MATCH(TBL_Rank[[#This Row],[Team Nr]],TBL_S2[Nr 2],0)))</f>
        <v>42</v>
      </c>
      <c r="H19" s="65">
        <f xml:space="preserve"> IFERROR(VLOOKUP(TBL_Rank[[#This Row],[Team Nr]],TBL_S3[[Nr 1]:[Nr 2]],5,FALSE), INDEX(TBL_S3[Nr 1], MATCH(TBL_Rank[[#This Row],[Team Nr]],TBL_S3[Nr 2],0)))</f>
        <v>39</v>
      </c>
      <c r="I19" s="65">
        <f xml:space="preserve"> IFERROR(VLOOKUP(TBL_Rank[[#This Row],[Team Nr]],TBL_S4[[Nr 1]:[Nr 2]],5,FALSE), INDEX(TBL_S4[Nr 1], MATCH(TBL_Rank[[#This Row],[Team Nr]],TBL_S4[Nr 2],0)))</f>
        <v>45</v>
      </c>
      <c r="J19" s="65">
        <f xml:space="preserve"> IFERROR(VLOOKUP(TBL_Rank[[#This Row],[Team Nr]],TBL_S5[[Nr 1]:[Nr 2]],5,FALSE), INDEX(TBL_S5[Nr 1], MATCH(TBL_Rank[[#This Row],[Team Nr]],TBL_S5[Nr 2],0)))</f>
        <v>19</v>
      </c>
      <c r="K19" s="65">
        <f xml:space="preserve"> IFERROR(VLOOKUP(TBL_Rank[[#This Row],[Team Nr]],TBL_S6[[Nr 1]:[Nr 2]],5,FALSE), INDEX(TBL_S6[Nr 1], MATCH(TBL_Rank[[#This Row],[Team Nr]],TBL_S6[Nr 2],0)))</f>
        <v>3</v>
      </c>
      <c r="L19" s="67">
        <f xml:space="preserve"> IFERROR(VLOOKUP(TBL_Rank[[#This Row],[Team Nr]],TBL_S7[[Nr 1]:[Nr 2]],5,FALSE), INDEX(TBL_S7[Nr 1], MATCH(TBL_Rank[[#This Row],[Team Nr]],TBL_S7[Nr 2],0)))</f>
        <v>5</v>
      </c>
      <c r="M19" s="68">
        <f xml:space="preserve"> IFERROR(VLOOKUP(TBL_Rank[[#This Row],[Team Nr]],TBL_S8[[Nr 1]:[Nr 2]],5,FALSE), INDEX(TBL_S8[Nr 1], MATCH(TBL_Rank[[#This Row],[Team Nr]],TBL_S8[Nr 2],0)))</f>
        <v>21</v>
      </c>
      <c r="N19" s="96">
        <f xml:space="preserve"> IFERROR(VLOOKUP(TBL_Rank[[#This Row],[Team Naam]],TBL_S1[["Thuis" ploeg (1)]:[VP 2]],8,FALSE), VLOOKUP(TBL_Rank[[#This Row],[Team Naam]],TBL_S1[["Uit" ploeg (2)]:[VP 2]],7,FALSE))</f>
        <v>15.77</v>
      </c>
      <c r="O19" s="23">
        <f xml:space="preserve"> IFERROR(VLOOKUP(TBL_Rank[[#This Row],[Team Naam]],TBL_S2[["Thuis" ploeg (1)]:[VP 2]],8,FALSE), VLOOKUP(TBL_Rank[[#This Row],[Team Naam]],TBL_S2[["Uit" ploeg (2)]:[VP 2]],7,FALSE))</f>
        <v>4.8900000000000006</v>
      </c>
      <c r="P19" s="23">
        <f xml:space="preserve"> IFERROR(VLOOKUP(TBL_Rank[[#This Row],[Team Naam]],TBL_S3[["Thuis" ploeg (1)]:[VP 2]],8,FALSE), VLOOKUP(TBL_Rank[[#This Row],[Team Naam]],TBL_S3[["Uit" ploeg (2)]:[VP 2]],7,FALSE))</f>
        <v>16.93</v>
      </c>
      <c r="Q19" s="23">
        <f xml:space="preserve"> IFERROR(VLOOKUP(TBL_Rank[[#This Row],[Team Naam]],TBL_S4[["Thuis" ploeg (1)]:[VP 2]],8,FALSE), VLOOKUP(TBL_Rank[[#This Row],[Team Naam]],TBL_S4[["Uit" ploeg (2)]:[VP 2]],7,FALSE))</f>
        <v>18.53</v>
      </c>
      <c r="R19" s="23">
        <f xml:space="preserve"> IFERROR(VLOOKUP(TBL_Rank[[#This Row],[Team Naam]],TBL_S5[["Thuis" ploeg (1)]:[VP 2]],8,FALSE), VLOOKUP(TBL_Rank[[#This Row],[Team Naam]],TBL_S5[["Uit" ploeg (2)]:[VP 2]],7,FALSE))</f>
        <v>4.5500000000000007</v>
      </c>
      <c r="S19" s="23">
        <f xml:space="preserve"> IFERROR(VLOOKUP(TBL_Rank[[#This Row],[Team Naam]],TBL_S6[["Thuis" ploeg (1)]:[VP 2]],8,FALSE), VLOOKUP(TBL_Rank[[#This Row],[Team Naam]],TBL_S6[["Uit" ploeg (2)]:[VP 2]],7,FALSE))</f>
        <v>12.53</v>
      </c>
      <c r="T19" s="23">
        <f xml:space="preserve"> IFERROR(VLOOKUP(TBL_Rank[[#This Row],[Team Naam]],TBL_S7[["Thuis" ploeg (1)]:[VP 2]],8,FALSE), VLOOKUP(TBL_Rank[[#This Row],[Team Naam]],TBL_S7[["Uit" ploeg (2)]:[VP 2]],7,FALSE))</f>
        <v>8.92</v>
      </c>
      <c r="U19" s="74">
        <f xml:space="preserve"> IFERROR(VLOOKUP(TBL_Rank[[#This Row],[Team Naam]],TBL_S8[["Thuis" ploeg (1)]:[VP 2]],8,FALSE), VLOOKUP(TBL_Rank[[#This Row],[Team Naam]],TBL_S8[["Uit" ploeg (2)]:[VP 2]],7,FALSE))</f>
        <v>5.42</v>
      </c>
    </row>
    <row r="20" spans="2:21" x14ac:dyDescent="0.3">
      <c r="B20" s="72">
        <v>17</v>
      </c>
      <c r="C20" s="91">
        <v>46</v>
      </c>
      <c r="D20" s="92" t="str">
        <f xml:space="preserve"> VLOOKUP(TBL_Rank[[#This Row],[Team Nr]],TBL_Team[],2,FALSE)</f>
        <v>Pieterman 6</v>
      </c>
      <c r="E20" s="101">
        <f xml:space="preserve"> SUM(TBL_Rank[[#This Row],[Speeldag 1]:[Speeldag 8]])</f>
        <v>86.99</v>
      </c>
      <c r="F20" s="68">
        <f xml:space="preserve"> IFERROR(VLOOKUP(TBL_Rank[[#This Row],[Team Nr]],TBL_S1[[Nr 1]:[Nr 2]],5,FALSE), INDEX(TBL_S1[Nr 1], MATCH(TBL_Rank[[#This Row],[Team Nr]],TBL_S1[Nr 2],0)))</f>
        <v>44</v>
      </c>
      <c r="G20" s="67">
        <f xml:space="preserve"> IFERROR(VLOOKUP(TBL_Rank[[#This Row],[Team Nr]],TBL_S2[[Nr 1]:[Nr 2]],5,FALSE), INDEX(TBL_S2[Nr 1], MATCH(TBL_Rank[[#This Row],[Team Nr]],TBL_S2[Nr 2],0)))</f>
        <v>13</v>
      </c>
      <c r="H20" s="68">
        <f xml:space="preserve"> IFERROR(VLOOKUP(TBL_Rank[[#This Row],[Team Nr]],TBL_S3[[Nr 1]:[Nr 2]],5,FALSE), INDEX(TBL_S3[Nr 1], MATCH(TBL_Rank[[#This Row],[Team Nr]],TBL_S3[Nr 2],0)))</f>
        <v>16</v>
      </c>
      <c r="I20" s="67">
        <f xml:space="preserve"> IFERROR(VLOOKUP(TBL_Rank[[#This Row],[Team Nr]],TBL_S4[[Nr 1]:[Nr 2]],5,FALSE), INDEX(TBL_S4[Nr 1], MATCH(TBL_Rank[[#This Row],[Team Nr]],TBL_S4[Nr 2],0)))</f>
        <v>5</v>
      </c>
      <c r="J20" s="67">
        <f xml:space="preserve"> IFERROR(VLOOKUP(TBL_Rank[[#This Row],[Team Nr]],TBL_S5[[Nr 1]:[Nr 2]],5,FALSE), INDEX(TBL_S5[Nr 1], MATCH(TBL_Rank[[#This Row],[Team Nr]],TBL_S5[Nr 2],0)))</f>
        <v>23</v>
      </c>
      <c r="K20" s="66">
        <f xml:space="preserve"> IFERROR(VLOOKUP(TBL_Rank[[#This Row],[Team Nr]],TBL_S6[[Nr 1]:[Nr 2]],5,FALSE), INDEX(TBL_S6[Nr 1], MATCH(TBL_Rank[[#This Row],[Team Nr]],TBL_S6[Nr 2],0)))</f>
        <v>28</v>
      </c>
      <c r="L20" s="67">
        <f xml:space="preserve"> IFERROR(VLOOKUP(TBL_Rank[[#This Row],[Team Nr]],TBL_S7[[Nr 1]:[Nr 2]],5,FALSE), INDEX(TBL_S7[Nr 1], MATCH(TBL_Rank[[#This Row],[Team Nr]],TBL_S7[Nr 2],0)))</f>
        <v>37</v>
      </c>
      <c r="M20" s="68">
        <f xml:space="preserve"> IFERROR(VLOOKUP(TBL_Rank[[#This Row],[Team Nr]],TBL_S8[[Nr 1]:[Nr 2]],5,FALSE), INDEX(TBL_S8[Nr 1], MATCH(TBL_Rank[[#This Row],[Team Nr]],TBL_S8[Nr 2],0)))</f>
        <v>17</v>
      </c>
      <c r="N20" s="96">
        <f xml:space="preserve"> IFERROR(VLOOKUP(TBL_Rank[[#This Row],[Team Naam]],TBL_S1[["Thuis" ploeg (1)]:[VP 2]],8,FALSE), VLOOKUP(TBL_Rank[[#This Row],[Team Naam]],TBL_S1[["Uit" ploeg (2)]:[VP 2]],7,FALSE))</f>
        <v>17.190000000000001</v>
      </c>
      <c r="O20" s="57">
        <f xml:space="preserve"> IFERROR(VLOOKUP(TBL_Rank[[#This Row],[Team Naam]],TBL_S2[["Thuis" ploeg (1)]:[VP 2]],8,FALSE), VLOOKUP(TBL_Rank[[#This Row],[Team Naam]],TBL_S2[["Uit" ploeg (2)]:[VP 2]],7,FALSE))</f>
        <v>14.58</v>
      </c>
      <c r="P20" s="57">
        <f xml:space="preserve"> IFERROR(VLOOKUP(TBL_Rank[[#This Row],[Team Naam]],TBL_S3[["Thuis" ploeg (1)]:[VP 2]],8,FALSE), VLOOKUP(TBL_Rank[[#This Row],[Team Naam]],TBL_S3[["Uit" ploeg (2)]:[VP 2]],7,FALSE))</f>
        <v>3.620000000000001</v>
      </c>
      <c r="Q20" s="57">
        <f xml:space="preserve"> IFERROR(VLOOKUP(TBL_Rank[[#This Row],[Team Naam]],TBL_S4[["Thuis" ploeg (1)]:[VP 2]],8,FALSE), VLOOKUP(TBL_Rank[[#This Row],[Team Naam]],TBL_S4[["Uit" ploeg (2)]:[VP 2]],7,FALSE))</f>
        <v>9.7200000000000006</v>
      </c>
      <c r="R20" s="57">
        <f xml:space="preserve"> IFERROR(VLOOKUP(TBL_Rank[[#This Row],[Team Naam]],TBL_S5[["Thuis" ploeg (1)]:[VP 2]],8,FALSE), VLOOKUP(TBL_Rank[[#This Row],[Team Naam]],TBL_S5[["Uit" ploeg (2)]:[VP 2]],7,FALSE))</f>
        <v>13.81</v>
      </c>
      <c r="S20" s="57">
        <f xml:space="preserve"> IFERROR(VLOOKUP(TBL_Rank[[#This Row],[Team Naam]],TBL_S6[["Thuis" ploeg (1)]:[VP 2]],8,FALSE), VLOOKUP(TBL_Rank[[#This Row],[Team Naam]],TBL_S6[["Uit" ploeg (2)]:[VP 2]],7,FALSE))</f>
        <v>16.38</v>
      </c>
      <c r="T20" s="57">
        <f xml:space="preserve"> IFERROR(VLOOKUP(TBL_Rank[[#This Row],[Team Naam]],TBL_S7[["Thuis" ploeg (1)]:[VP 2]],8,FALSE), VLOOKUP(TBL_Rank[[#This Row],[Team Naam]],TBL_S7[["Uit" ploeg (2)]:[VP 2]],7,FALSE))</f>
        <v>4.8900000000000006</v>
      </c>
      <c r="U20" s="75">
        <f xml:space="preserve"> IFERROR(VLOOKUP(TBL_Rank[[#This Row],[Team Naam]],TBL_S8[["Thuis" ploeg (1)]:[VP 2]],8,FALSE), VLOOKUP(TBL_Rank[[#This Row],[Team Naam]],TBL_S8[["Uit" ploeg (2)]:[VP 2]],7,FALSE))</f>
        <v>6.8000000000000007</v>
      </c>
    </row>
    <row r="21" spans="2:21" x14ac:dyDescent="0.3">
      <c r="B21" s="99">
        <v>18</v>
      </c>
      <c r="C21" s="91">
        <v>35</v>
      </c>
      <c r="D21" s="92" t="str">
        <f xml:space="preserve"> VLOOKUP(TBL_Rank[[#This Row],[Team Nr]],TBL_Team[],2,FALSE)</f>
        <v>Houtland</v>
      </c>
      <c r="E21" s="101">
        <f xml:space="preserve"> SUM(TBL_Rank[[#This Row],[Speeldag 1]:[Speeldag 8]])</f>
        <v>84.990000000000009</v>
      </c>
      <c r="F21" s="68">
        <f xml:space="preserve"> IFERROR(VLOOKUP(TBL_Rank[[#This Row],[Team Nr]],TBL_S1[[Nr 1]:[Nr 2]],5,FALSE), INDEX(TBL_S1[Nr 1], MATCH(TBL_Rank[[#This Row],[Team Nr]],TBL_S1[Nr 2],0)))</f>
        <v>45</v>
      </c>
      <c r="G21" s="67">
        <f xml:space="preserve"> IFERROR(VLOOKUP(TBL_Rank[[#This Row],[Team Nr]],TBL_S2[[Nr 1]:[Nr 2]],5,FALSE), INDEX(TBL_S2[Nr 1], MATCH(TBL_Rank[[#This Row],[Team Nr]],TBL_S2[Nr 2],0)))</f>
        <v>8</v>
      </c>
      <c r="H21" s="68">
        <f xml:space="preserve"> IFERROR(VLOOKUP(TBL_Rank[[#This Row],[Team Nr]],TBL_S3[[Nr 1]:[Nr 2]],5,FALSE), INDEX(TBL_S3[Nr 1], MATCH(TBL_Rank[[#This Row],[Team Nr]],TBL_S3[Nr 2],0)))</f>
        <v>7</v>
      </c>
      <c r="I21" s="67">
        <f xml:space="preserve"> IFERROR(VLOOKUP(TBL_Rank[[#This Row],[Team Nr]],TBL_S4[[Nr 1]:[Nr 2]],5,FALSE), INDEX(TBL_S4[Nr 1], MATCH(TBL_Rank[[#This Row],[Team Nr]],TBL_S4[Nr 2],0)))</f>
        <v>22</v>
      </c>
      <c r="J21" s="67">
        <f xml:space="preserve"> IFERROR(VLOOKUP(TBL_Rank[[#This Row],[Team Nr]],TBL_S5[[Nr 1]:[Nr 2]],5,FALSE), INDEX(TBL_S5[Nr 1], MATCH(TBL_Rank[[#This Row],[Team Nr]],TBL_S5[Nr 2],0)))</f>
        <v>5</v>
      </c>
      <c r="K21" s="66">
        <f xml:space="preserve"> IFERROR(VLOOKUP(TBL_Rank[[#This Row],[Team Nr]],TBL_S6[[Nr 1]:[Nr 2]],5,FALSE), INDEX(TBL_S6[Nr 1], MATCH(TBL_Rank[[#This Row],[Team Nr]],TBL_S6[Nr 2],0)))</f>
        <v>21</v>
      </c>
      <c r="L21" s="67">
        <f xml:space="preserve"> IFERROR(VLOOKUP(TBL_Rank[[#This Row],[Team Nr]],TBL_S7[[Nr 1]:[Nr 2]],5,FALSE), INDEX(TBL_S7[Nr 1], MATCH(TBL_Rank[[#This Row],[Team Nr]],TBL_S7[Nr 2],0)))</f>
        <v>30</v>
      </c>
      <c r="M21" s="68">
        <f xml:space="preserve"> IFERROR(VLOOKUP(TBL_Rank[[#This Row],[Team Nr]],TBL_S8[[Nr 1]:[Nr 2]],5,FALSE), INDEX(TBL_S8[Nr 1], MATCH(TBL_Rank[[#This Row],[Team Nr]],TBL_S8[Nr 2],0)))</f>
        <v>31</v>
      </c>
      <c r="N21" s="96">
        <f xml:space="preserve"> IFERROR(VLOOKUP(TBL_Rank[[#This Row],[Team Naam]],TBL_S1[["Thuis" ploeg (1)]:[VP 2]],8,FALSE), VLOOKUP(TBL_Rank[[#This Row],[Team Naam]],TBL_S1[["Uit" ploeg (2)]:[VP 2]],7,FALSE))</f>
        <v>12.3</v>
      </c>
      <c r="O21" s="57">
        <f xml:space="preserve"> IFERROR(VLOOKUP(TBL_Rank[[#This Row],[Team Naam]],TBL_S2[["Thuis" ploeg (1)]:[VP 2]],8,FALSE), VLOOKUP(TBL_Rank[[#This Row],[Team Naam]],TBL_S2[["Uit" ploeg (2)]:[VP 2]],7,FALSE))</f>
        <v>20</v>
      </c>
      <c r="P21" s="57">
        <f xml:space="preserve"> IFERROR(VLOOKUP(TBL_Rank[[#This Row],[Team Naam]],TBL_S3[["Thuis" ploeg (1)]:[VP 2]],8,FALSE), VLOOKUP(TBL_Rank[[#This Row],[Team Naam]],TBL_S3[["Uit" ploeg (2)]:[VP 2]],7,FALSE))</f>
        <v>10.28</v>
      </c>
      <c r="Q21" s="57">
        <f xml:space="preserve"> IFERROR(VLOOKUP(TBL_Rank[[#This Row],[Team Naam]],TBL_S4[["Thuis" ploeg (1)]:[VP 2]],8,FALSE), VLOOKUP(TBL_Rank[[#This Row],[Team Naam]],TBL_S4[["Uit" ploeg (2)]:[VP 2]],7,FALSE))</f>
        <v>2.6799999999999997</v>
      </c>
      <c r="R21" s="57">
        <f xml:space="preserve"> IFERROR(VLOOKUP(TBL_Rank[[#This Row],[Team Naam]],TBL_S5[["Thuis" ploeg (1)]:[VP 2]],8,FALSE), VLOOKUP(TBL_Rank[[#This Row],[Team Naam]],TBL_S5[["Uit" ploeg (2)]:[VP 2]],7,FALSE))</f>
        <v>9.18</v>
      </c>
      <c r="S21" s="57">
        <f xml:space="preserve"> IFERROR(VLOOKUP(TBL_Rank[[#This Row],[Team Naam]],TBL_S6[["Thuis" ploeg (1)]:[VP 2]],8,FALSE), VLOOKUP(TBL_Rank[[#This Row],[Team Naam]],TBL_S6[["Uit" ploeg (2)]:[VP 2]],7,FALSE))</f>
        <v>5.0600000000000005</v>
      </c>
      <c r="T21" s="57">
        <f xml:space="preserve"> IFERROR(VLOOKUP(TBL_Rank[[#This Row],[Team Naam]],TBL_S7[["Thuis" ploeg (1)]:[VP 2]],8,FALSE), VLOOKUP(TBL_Rank[[#This Row],[Team Naam]],TBL_S7[["Uit" ploeg (2)]:[VP 2]],7,FALSE))</f>
        <v>8.17</v>
      </c>
      <c r="U21" s="75">
        <f xml:space="preserve"> IFERROR(VLOOKUP(TBL_Rank[[#This Row],[Team Naam]],TBL_S8[["Thuis" ploeg (1)]:[VP 2]],8,FALSE), VLOOKUP(TBL_Rank[[#This Row],[Team Naam]],TBL_S8[["Uit" ploeg (2)]:[VP 2]],7,FALSE))</f>
        <v>17.32</v>
      </c>
    </row>
    <row r="22" spans="2:21" x14ac:dyDescent="0.3">
      <c r="B22" s="72">
        <v>19</v>
      </c>
      <c r="C22" s="91">
        <v>45</v>
      </c>
      <c r="D22" s="92" t="str">
        <f xml:space="preserve"> VLOOKUP(TBL_Rank[[#This Row],[Team Nr]],TBL_Team[],2,FALSE)</f>
        <v>Edegem 2</v>
      </c>
      <c r="E22" s="101">
        <f xml:space="preserve"> SUM(TBL_Rank[[#This Row],[Speeldag 1]:[Speeldag 8]])</f>
        <v>84.710000000000008</v>
      </c>
      <c r="F22" s="68">
        <f xml:space="preserve"> IFERROR(VLOOKUP(TBL_Rank[[#This Row],[Team Nr]],TBL_S1[[Nr 1]:[Nr 2]],5,FALSE), INDEX(TBL_S1[Nr 1], MATCH(TBL_Rank[[#This Row],[Team Nr]],TBL_S1[Nr 2],0)))</f>
        <v>35</v>
      </c>
      <c r="G22" s="67">
        <f xml:space="preserve"> IFERROR(VLOOKUP(TBL_Rank[[#This Row],[Team Nr]],TBL_S2[[Nr 1]:[Nr 2]],5,FALSE), INDEX(TBL_S2[Nr 1], MATCH(TBL_Rank[[#This Row],[Team Nr]],TBL_S2[Nr 2],0)))</f>
        <v>18</v>
      </c>
      <c r="H22" s="68">
        <f xml:space="preserve"> IFERROR(VLOOKUP(TBL_Rank[[#This Row],[Team Nr]],TBL_S3[[Nr 1]:[Nr 2]],5,FALSE), INDEX(TBL_S3[Nr 1], MATCH(TBL_Rank[[#This Row],[Team Nr]],TBL_S3[Nr 2],0)))</f>
        <v>44</v>
      </c>
      <c r="I22" s="67">
        <f xml:space="preserve"> IFERROR(VLOOKUP(TBL_Rank[[#This Row],[Team Nr]],TBL_S4[[Nr 1]:[Nr 2]],5,FALSE), INDEX(TBL_S4[Nr 1], MATCH(TBL_Rank[[#This Row],[Team Nr]],TBL_S4[Nr 2],0)))</f>
        <v>2</v>
      </c>
      <c r="J22" s="67">
        <f xml:space="preserve"> IFERROR(VLOOKUP(TBL_Rank[[#This Row],[Team Nr]],TBL_S5[[Nr 1]:[Nr 2]],5,FALSE), INDEX(TBL_S5[Nr 1], MATCH(TBL_Rank[[#This Row],[Team Nr]],TBL_S5[Nr 2],0)))</f>
        <v>27</v>
      </c>
      <c r="K22" s="66">
        <f xml:space="preserve"> IFERROR(VLOOKUP(TBL_Rank[[#This Row],[Team Nr]],TBL_S6[[Nr 1]:[Nr 2]],5,FALSE), INDEX(TBL_S6[Nr 1], MATCH(TBL_Rank[[#This Row],[Team Nr]],TBL_S6[Nr 2],0)))</f>
        <v>40</v>
      </c>
      <c r="L22" s="67">
        <f xml:space="preserve"> IFERROR(VLOOKUP(TBL_Rank[[#This Row],[Team Nr]],TBL_S7[[Nr 1]:[Nr 2]],5,FALSE), INDEX(TBL_S7[Nr 1], MATCH(TBL_Rank[[#This Row],[Team Nr]],TBL_S7[Nr 2],0)))</f>
        <v>23</v>
      </c>
      <c r="M22" s="68">
        <f xml:space="preserve"> IFERROR(VLOOKUP(TBL_Rank[[#This Row],[Team Nr]],TBL_S8[[Nr 1]:[Nr 2]],5,FALSE), INDEX(TBL_S8[Nr 1], MATCH(TBL_Rank[[#This Row],[Team Nr]],TBL_S8[Nr 2],0)))</f>
        <v>24</v>
      </c>
      <c r="N22" s="96">
        <f xml:space="preserve"> IFERROR(VLOOKUP(TBL_Rank[[#This Row],[Team Naam]],TBL_S1[["Thuis" ploeg (1)]:[VP 2]],8,FALSE), VLOOKUP(TBL_Rank[[#This Row],[Team Naam]],TBL_S1[["Uit" ploeg (2)]:[VP 2]],7,FALSE))</f>
        <v>7.6999999999999993</v>
      </c>
      <c r="O22" s="57">
        <f xml:space="preserve"> IFERROR(VLOOKUP(TBL_Rank[[#This Row],[Team Naam]],TBL_S2[["Thuis" ploeg (1)]:[VP 2]],8,FALSE), VLOOKUP(TBL_Rank[[#This Row],[Team Naam]],TBL_S2[["Uit" ploeg (2)]:[VP 2]],7,FALSE))</f>
        <v>11.83</v>
      </c>
      <c r="P22" s="57">
        <f xml:space="preserve"> IFERROR(VLOOKUP(TBL_Rank[[#This Row],[Team Naam]],TBL_S3[["Thuis" ploeg (1)]:[VP 2]],8,FALSE), VLOOKUP(TBL_Rank[[#This Row],[Team Naam]],TBL_S3[["Uit" ploeg (2)]:[VP 2]],7,FALSE))</f>
        <v>18.329999999999998</v>
      </c>
      <c r="Q22" s="57">
        <f xml:space="preserve"> IFERROR(VLOOKUP(TBL_Rank[[#This Row],[Team Naam]],TBL_S4[["Thuis" ploeg (1)]:[VP 2]],8,FALSE), VLOOKUP(TBL_Rank[[#This Row],[Team Naam]],TBL_S4[["Uit" ploeg (2)]:[VP 2]],7,FALSE))</f>
        <v>1.4699999999999989</v>
      </c>
      <c r="R22" s="57">
        <f xml:space="preserve"> IFERROR(VLOOKUP(TBL_Rank[[#This Row],[Team Naam]],TBL_S5[["Thuis" ploeg (1)]:[VP 2]],8,FALSE), VLOOKUP(TBL_Rank[[#This Row],[Team Naam]],TBL_S5[["Uit" ploeg (2)]:[VP 2]],7,FALSE))</f>
        <v>14.2</v>
      </c>
      <c r="S22" s="57">
        <f xml:space="preserve"> IFERROR(VLOOKUP(TBL_Rank[[#This Row],[Team Naam]],TBL_S6[["Thuis" ploeg (1)]:[VP 2]],8,FALSE), VLOOKUP(TBL_Rank[[#This Row],[Team Naam]],TBL_S6[["Uit" ploeg (2)]:[VP 2]],7,FALSE))</f>
        <v>3.1999999999999993</v>
      </c>
      <c r="T22" s="57">
        <f xml:space="preserve"> IFERROR(VLOOKUP(TBL_Rank[[#This Row],[Team Naam]],TBL_S7[["Thuis" ploeg (1)]:[VP 2]],8,FALSE), VLOOKUP(TBL_Rank[[#This Row],[Team Naam]],TBL_S7[["Uit" ploeg (2)]:[VP 2]],7,FALSE))</f>
        <v>12.53</v>
      </c>
      <c r="U22" s="75">
        <f xml:space="preserve"> IFERROR(VLOOKUP(TBL_Rank[[#This Row],[Team Naam]],TBL_S8[["Thuis" ploeg (1)]:[VP 2]],8,FALSE), VLOOKUP(TBL_Rank[[#This Row],[Team Naam]],TBL_S8[["Uit" ploeg (2)]:[VP 2]],7,FALSE))</f>
        <v>15.45</v>
      </c>
    </row>
    <row r="23" spans="2:21" x14ac:dyDescent="0.3">
      <c r="B23" s="72">
        <v>20</v>
      </c>
      <c r="C23" s="91">
        <v>11</v>
      </c>
      <c r="D23" s="95" t="str">
        <f xml:space="preserve"> VLOOKUP(TBL_Rank[[#This Row],[Team Nr]],TBL_Team[],2,FALSE)</f>
        <v>Sandeman 3</v>
      </c>
      <c r="E23" s="101">
        <f xml:space="preserve"> SUM(TBL_Rank[[#This Row],[Speeldag 1]:[Speeldag 8]])</f>
        <v>84.12</v>
      </c>
      <c r="F23" s="66">
        <f xml:space="preserve"> IFERROR(VLOOKUP(TBL_Rank[[#This Row],[Team Nr]],TBL_S1[[Nr 1]:[Nr 2]],5,FALSE), INDEX(TBL_S1[Nr 1], MATCH(TBL_Rank[[#This Row],[Team Nr]],TBL_S1[Nr 2],0)))</f>
        <v>4</v>
      </c>
      <c r="G23" s="65">
        <f xml:space="preserve"> IFERROR(VLOOKUP(TBL_Rank[[#This Row],[Team Nr]],TBL_S2[[Nr 1]:[Nr 2]],5,FALSE), INDEX(TBL_S2[Nr 1], MATCH(TBL_Rank[[#This Row],[Team Nr]],TBL_S2[Nr 2],0)))</f>
        <v>41</v>
      </c>
      <c r="H23" s="66">
        <f xml:space="preserve"> IFERROR(VLOOKUP(TBL_Rank[[#This Row],[Team Nr]],TBL_S3[[Nr 1]:[Nr 2]],5,FALSE), INDEX(TBL_S3[Nr 1], MATCH(TBL_Rank[[#This Row],[Team Nr]],TBL_S3[Nr 2],0)))</f>
        <v>1</v>
      </c>
      <c r="I23" s="65">
        <f xml:space="preserve"> IFERROR(VLOOKUP(TBL_Rank[[#This Row],[Team Nr]],TBL_S4[[Nr 1]:[Nr 2]],5,FALSE), INDEX(TBL_S4[Nr 1], MATCH(TBL_Rank[[#This Row],[Team Nr]],TBL_S4[Nr 2],0)))</f>
        <v>19</v>
      </c>
      <c r="J23" s="65">
        <f xml:space="preserve"> IFERROR(VLOOKUP(TBL_Rank[[#This Row],[Team Nr]],TBL_S5[[Nr 1]:[Nr 2]],5,FALSE), INDEX(TBL_S5[Nr 1], MATCH(TBL_Rank[[#This Row],[Team Nr]],TBL_S5[Nr 2],0)))</f>
        <v>18</v>
      </c>
      <c r="K23" s="66">
        <f xml:space="preserve"> IFERROR(VLOOKUP(TBL_Rank[[#This Row],[Team Nr]],TBL_S6[[Nr 1]:[Nr 2]],5,FALSE), INDEX(TBL_S6[Nr 1], MATCH(TBL_Rank[[#This Row],[Team Nr]],TBL_S6[Nr 2],0)))</f>
        <v>23</v>
      </c>
      <c r="L23" s="67">
        <f xml:space="preserve"> IFERROR(VLOOKUP(TBL_Rank[[#This Row],[Team Nr]],TBL_S7[[Nr 1]:[Nr 2]],5,FALSE), INDEX(TBL_S7[Nr 1], MATCH(TBL_Rank[[#This Row],[Team Nr]],TBL_S7[Nr 2],0)))</f>
        <v>20</v>
      </c>
      <c r="M23" s="68">
        <f xml:space="preserve"> IFERROR(VLOOKUP(TBL_Rank[[#This Row],[Team Nr]],TBL_S8[[Nr 1]:[Nr 2]],5,FALSE), INDEX(TBL_S8[Nr 1], MATCH(TBL_Rank[[#This Row],[Team Nr]],TBL_S8[Nr 2],0)))</f>
        <v>3</v>
      </c>
      <c r="N23" s="96">
        <f xml:space="preserve"> IFERROR(VLOOKUP(TBL_Rank[[#This Row],[Team Naam]],TBL_S1[["Thuis" ploeg (1)]:[VP 2]],8,FALSE), VLOOKUP(TBL_Rank[[#This Row],[Team Naam]],TBL_S1[["Uit" ploeg (2)]:[VP 2]],7,FALSE))</f>
        <v>2.8099999999999987</v>
      </c>
      <c r="O23" s="23">
        <f xml:space="preserve"> IFERROR(VLOOKUP(TBL_Rank[[#This Row],[Team Naam]],TBL_S2[["Thuis" ploeg (1)]:[VP 2]],8,FALSE), VLOOKUP(TBL_Rank[[#This Row],[Team Naam]],TBL_S2[["Uit" ploeg (2)]:[VP 2]],7,FALSE))</f>
        <v>16.66</v>
      </c>
      <c r="P23" s="23">
        <f xml:space="preserve"> IFERROR(VLOOKUP(TBL_Rank[[#This Row],[Team Naam]],TBL_S3[["Thuis" ploeg (1)]:[VP 2]],8,FALSE), VLOOKUP(TBL_Rank[[#This Row],[Team Naam]],TBL_S3[["Uit" ploeg (2)]:[VP 2]],7,FALSE))</f>
        <v>18.73</v>
      </c>
      <c r="Q23" s="23">
        <f xml:space="preserve"> IFERROR(VLOOKUP(TBL_Rank[[#This Row],[Team Naam]],TBL_S4[["Thuis" ploeg (1)]:[VP 2]],8,FALSE), VLOOKUP(TBL_Rank[[#This Row],[Team Naam]],TBL_S4[["Uit" ploeg (2)]:[VP 2]],7,FALSE))</f>
        <v>0.51000000000000156</v>
      </c>
      <c r="R23" s="23">
        <f xml:space="preserve"> IFERROR(VLOOKUP(TBL_Rank[[#This Row],[Team Naam]],TBL_S5[["Thuis" ploeg (1)]:[VP 2]],8,FALSE), VLOOKUP(TBL_Rank[[#This Row],[Team Naam]],TBL_S5[["Uit" ploeg (2)]:[VP 2]],7,FALSE))</f>
        <v>12.98</v>
      </c>
      <c r="S23" s="23">
        <f xml:space="preserve"> IFERROR(VLOOKUP(TBL_Rank[[#This Row],[Team Naam]],TBL_S6[["Thuis" ploeg (1)]:[VP 2]],8,FALSE), VLOOKUP(TBL_Rank[[#This Row],[Team Naam]],TBL_S6[["Uit" ploeg (2)]:[VP 2]],7,FALSE))</f>
        <v>13.2</v>
      </c>
      <c r="T23" s="23">
        <f xml:space="preserve"> IFERROR(VLOOKUP(TBL_Rank[[#This Row],[Team Naam]],TBL_S7[["Thuis" ploeg (1)]:[VP 2]],8,FALSE), VLOOKUP(TBL_Rank[[#This Row],[Team Naam]],TBL_S7[["Uit" ploeg (2)]:[VP 2]],7,FALSE))</f>
        <v>8.41</v>
      </c>
      <c r="U23" s="74">
        <f xml:space="preserve"> IFERROR(VLOOKUP(TBL_Rank[[#This Row],[Team Naam]],TBL_S8[["Thuis" ploeg (1)]:[VP 2]],8,FALSE), VLOOKUP(TBL_Rank[[#This Row],[Team Naam]],TBL_S8[["Uit" ploeg (2)]:[VP 2]],7,FALSE))</f>
        <v>10.82</v>
      </c>
    </row>
    <row r="24" spans="2:21" x14ac:dyDescent="0.3">
      <c r="B24" s="99">
        <v>21</v>
      </c>
      <c r="C24" s="91">
        <v>39</v>
      </c>
      <c r="D24" s="92" t="str">
        <f xml:space="preserve"> VLOOKUP(TBL_Rank[[#This Row],[Team Nr]],TBL_Team[],2,FALSE)</f>
        <v>De witte beren</v>
      </c>
      <c r="E24" s="101">
        <f xml:space="preserve"> SUM(TBL_Rank[[#This Row],[Speeldag 1]:[Speeldag 8]])</f>
        <v>82.53</v>
      </c>
      <c r="F24" s="68">
        <f xml:space="preserve"> IFERROR(VLOOKUP(TBL_Rank[[#This Row],[Team Nr]],TBL_S1[[Nr 1]:[Nr 2]],5,FALSE), INDEX(TBL_S1[Nr 1], MATCH(TBL_Rank[[#This Row],[Team Nr]],TBL_S1[Nr 2],0)))</f>
        <v>21</v>
      </c>
      <c r="G24" s="67">
        <f xml:space="preserve"> IFERROR(VLOOKUP(TBL_Rank[[#This Row],[Team Nr]],TBL_S2[[Nr 1]:[Nr 2]],5,FALSE), INDEX(TBL_S2[Nr 1], MATCH(TBL_Rank[[#This Row],[Team Nr]],TBL_S2[Nr 2],0)))</f>
        <v>28</v>
      </c>
      <c r="H24" s="68">
        <f xml:space="preserve"> IFERROR(VLOOKUP(TBL_Rank[[#This Row],[Team Nr]],TBL_S3[[Nr 1]:[Nr 2]],5,FALSE), INDEX(TBL_S3[Nr 1], MATCH(TBL_Rank[[#This Row],[Team Nr]],TBL_S3[Nr 2],0)))</f>
        <v>2</v>
      </c>
      <c r="I24" s="67">
        <f xml:space="preserve"> IFERROR(VLOOKUP(TBL_Rank[[#This Row],[Team Nr]],TBL_S4[[Nr 1]:[Nr 2]],5,FALSE), INDEX(TBL_S4[Nr 1], MATCH(TBL_Rank[[#This Row],[Team Nr]],TBL_S4[Nr 2],0)))</f>
        <v>29</v>
      </c>
      <c r="J24" s="67">
        <f xml:space="preserve"> IFERROR(VLOOKUP(TBL_Rank[[#This Row],[Team Nr]],TBL_S5[[Nr 1]:[Nr 2]],5,FALSE), INDEX(TBL_S5[Nr 1], MATCH(TBL_Rank[[#This Row],[Team Nr]],TBL_S5[Nr 2],0)))</f>
        <v>12</v>
      </c>
      <c r="K24" s="66">
        <f xml:space="preserve"> IFERROR(VLOOKUP(TBL_Rank[[#This Row],[Team Nr]],TBL_S6[[Nr 1]:[Nr 2]],5,FALSE), INDEX(TBL_S6[Nr 1], MATCH(TBL_Rank[[#This Row],[Team Nr]],TBL_S6[Nr 2],0)))</f>
        <v>31</v>
      </c>
      <c r="L24" s="67">
        <f xml:space="preserve"> IFERROR(VLOOKUP(TBL_Rank[[#This Row],[Team Nr]],TBL_S7[[Nr 1]:[Nr 2]],5,FALSE), INDEX(TBL_S7[Nr 1], MATCH(TBL_Rank[[#This Row],[Team Nr]],TBL_S7[Nr 2],0)))</f>
        <v>33</v>
      </c>
      <c r="M24" s="68">
        <f xml:space="preserve"> IFERROR(VLOOKUP(TBL_Rank[[#This Row],[Team Nr]],TBL_S8[[Nr 1]:[Nr 2]],5,FALSE), INDEX(TBL_S8[Nr 1], MATCH(TBL_Rank[[#This Row],[Team Nr]],TBL_S8[Nr 2],0)))</f>
        <v>18</v>
      </c>
      <c r="N24" s="96">
        <f xml:space="preserve"> IFERROR(VLOOKUP(TBL_Rank[[#This Row],[Team Naam]],TBL_S1[["Thuis" ploeg (1)]:[VP 2]],8,FALSE), VLOOKUP(TBL_Rank[[#This Row],[Team Naam]],TBL_S1[["Uit" ploeg (2)]:[VP 2]],7,FALSE))</f>
        <v>19.329999999999998</v>
      </c>
      <c r="O24" s="57">
        <f xml:space="preserve"> IFERROR(VLOOKUP(TBL_Rank[[#This Row],[Team Naam]],TBL_S2[["Thuis" ploeg (1)]:[VP 2]],8,FALSE), VLOOKUP(TBL_Rank[[#This Row],[Team Naam]],TBL_S2[["Uit" ploeg (2)]:[VP 2]],7,FALSE))</f>
        <v>1.5700000000000003</v>
      </c>
      <c r="P24" s="57">
        <f xml:space="preserve"> IFERROR(VLOOKUP(TBL_Rank[[#This Row],[Team Naam]],TBL_S3[["Thuis" ploeg (1)]:[VP 2]],8,FALSE), VLOOKUP(TBL_Rank[[#This Row],[Team Naam]],TBL_S3[["Uit" ploeg (2)]:[VP 2]],7,FALSE))</f>
        <v>3.0700000000000003</v>
      </c>
      <c r="Q24" s="57">
        <f xml:space="preserve"> IFERROR(VLOOKUP(TBL_Rank[[#This Row],[Team Naam]],TBL_S4[["Thuis" ploeg (1)]:[VP 2]],8,FALSE), VLOOKUP(TBL_Rank[[#This Row],[Team Naam]],TBL_S4[["Uit" ploeg (2)]:[VP 2]],7,FALSE))</f>
        <v>6.8000000000000007</v>
      </c>
      <c r="R24" s="57">
        <f xml:space="preserve"> IFERROR(VLOOKUP(TBL_Rank[[#This Row],[Team Naam]],TBL_S5[["Thuis" ploeg (1)]:[VP 2]],8,FALSE), VLOOKUP(TBL_Rank[[#This Row],[Team Naam]],TBL_S5[["Uit" ploeg (2)]:[VP 2]],7,FALSE))</f>
        <v>19.09</v>
      </c>
      <c r="S24" s="57">
        <f xml:space="preserve"> IFERROR(VLOOKUP(TBL_Rank[[#This Row],[Team Naam]],TBL_S6[["Thuis" ploeg (1)]:[VP 2]],8,FALSE), VLOOKUP(TBL_Rank[[#This Row],[Team Naam]],TBL_S6[["Uit" ploeg (2)]:[VP 2]],7,FALSE))</f>
        <v>6.1899999999999995</v>
      </c>
      <c r="T24" s="57">
        <f xml:space="preserve"> IFERROR(VLOOKUP(TBL_Rank[[#This Row],[Team Naam]],TBL_S7[["Thuis" ploeg (1)]:[VP 2]],8,FALSE), VLOOKUP(TBL_Rank[[#This Row],[Team Naam]],TBL_S7[["Uit" ploeg (2)]:[VP 2]],7,FALSE))</f>
        <v>8.92</v>
      </c>
      <c r="U24" s="75">
        <f xml:space="preserve"> IFERROR(VLOOKUP(TBL_Rank[[#This Row],[Team Naam]],TBL_S8[["Thuis" ploeg (1)]:[VP 2]],8,FALSE), VLOOKUP(TBL_Rank[[#This Row],[Team Naam]],TBL_S8[["Uit" ploeg (2)]:[VP 2]],7,FALSE))</f>
        <v>17.559999999999999</v>
      </c>
    </row>
    <row r="25" spans="2:21" x14ac:dyDescent="0.3">
      <c r="B25" s="72">
        <v>22</v>
      </c>
      <c r="C25" s="91">
        <v>30</v>
      </c>
      <c r="D25" s="92" t="str">
        <f xml:space="preserve"> VLOOKUP(TBL_Rank[[#This Row],[Team Nr]],TBL_Team[],2,FALSE)</f>
        <v>Westrand 3</v>
      </c>
      <c r="E25" s="101">
        <f xml:space="preserve"> SUM(TBL_Rank[[#This Row],[Speeldag 1]:[Speeldag 8]])</f>
        <v>82.52</v>
      </c>
      <c r="F25" s="68">
        <f xml:space="preserve"> IFERROR(VLOOKUP(TBL_Rank[[#This Row],[Team Nr]],TBL_S1[[Nr 1]:[Nr 2]],5,FALSE), INDEX(TBL_S1[Nr 1], MATCH(TBL_Rank[[#This Row],[Team Nr]],TBL_S1[Nr 2],0)))</f>
        <v>22</v>
      </c>
      <c r="G25" s="67">
        <f xml:space="preserve"> IFERROR(VLOOKUP(TBL_Rank[[#This Row],[Team Nr]],TBL_S2[[Nr 1]:[Nr 2]],5,FALSE), INDEX(TBL_S2[Nr 1], MATCH(TBL_Rank[[#This Row],[Team Nr]],TBL_S2[Nr 2],0)))</f>
        <v>14</v>
      </c>
      <c r="H25" s="68">
        <f xml:space="preserve"> IFERROR(VLOOKUP(TBL_Rank[[#This Row],[Team Nr]],TBL_S3[[Nr 1]:[Nr 2]],5,FALSE), INDEX(TBL_S3[Nr 1], MATCH(TBL_Rank[[#This Row],[Team Nr]],TBL_S3[Nr 2],0)))</f>
        <v>21</v>
      </c>
      <c r="I25" s="67">
        <f xml:space="preserve"> IFERROR(VLOOKUP(TBL_Rank[[#This Row],[Team Nr]],TBL_S4[[Nr 1]:[Nr 2]],5,FALSE), INDEX(TBL_S4[Nr 1], MATCH(TBL_Rank[[#This Row],[Team Nr]],TBL_S4[Nr 2],0)))</f>
        <v>26</v>
      </c>
      <c r="J25" s="67">
        <f xml:space="preserve"> IFERROR(VLOOKUP(TBL_Rank[[#This Row],[Team Nr]],TBL_S5[[Nr 1]:[Nr 2]],5,FALSE), INDEX(TBL_S5[Nr 1], MATCH(TBL_Rank[[#This Row],[Team Nr]],TBL_S5[Nr 2],0)))</f>
        <v>40</v>
      </c>
      <c r="K25" s="66">
        <f xml:space="preserve"> IFERROR(VLOOKUP(TBL_Rank[[#This Row],[Team Nr]],TBL_S6[[Nr 1]:[Nr 2]],5,FALSE), INDEX(TBL_S6[Nr 1], MATCH(TBL_Rank[[#This Row],[Team Nr]],TBL_S6[Nr 2],0)))</f>
        <v>5</v>
      </c>
      <c r="L25" s="67">
        <f xml:space="preserve"> IFERROR(VLOOKUP(TBL_Rank[[#This Row],[Team Nr]],TBL_S7[[Nr 1]:[Nr 2]],5,FALSE), INDEX(TBL_S7[Nr 1], MATCH(TBL_Rank[[#This Row],[Team Nr]],TBL_S7[Nr 2],0)))</f>
        <v>35</v>
      </c>
      <c r="M25" s="68">
        <f xml:space="preserve"> IFERROR(VLOOKUP(TBL_Rank[[#This Row],[Team Nr]],TBL_S8[[Nr 1]:[Nr 2]],5,FALSE), INDEX(TBL_S8[Nr 1], MATCH(TBL_Rank[[#This Row],[Team Nr]],TBL_S8[Nr 2],0)))</f>
        <v>13</v>
      </c>
      <c r="N25" s="96">
        <f xml:space="preserve"> IFERROR(VLOOKUP(TBL_Rank[[#This Row],[Team Naam]],TBL_S1[["Thuis" ploeg (1)]:[VP 2]],8,FALSE), VLOOKUP(TBL_Rank[[#This Row],[Team Naam]],TBL_S1[["Uit" ploeg (2)]:[VP 2]],7,FALSE))</f>
        <v>9.7200000000000006</v>
      </c>
      <c r="O25" s="23">
        <f xml:space="preserve"> IFERROR(VLOOKUP(TBL_Rank[[#This Row],[Team Naam]],TBL_S2[["Thuis" ploeg (1)]:[VP 2]],8,FALSE), VLOOKUP(TBL_Rank[[#This Row],[Team Naam]],TBL_S2[["Uit" ploeg (2)]:[VP 2]],7,FALSE))</f>
        <v>10.55</v>
      </c>
      <c r="P25" s="23">
        <f xml:space="preserve"> IFERROR(VLOOKUP(TBL_Rank[[#This Row],[Team Naam]],TBL_S3[["Thuis" ploeg (1)]:[VP 2]],8,FALSE), VLOOKUP(TBL_Rank[[#This Row],[Team Naam]],TBL_S3[["Uit" ploeg (2)]:[VP 2]],7,FALSE))</f>
        <v>16.23</v>
      </c>
      <c r="Q25" s="23">
        <f xml:space="preserve"> IFERROR(VLOOKUP(TBL_Rank[[#This Row],[Team Naam]],TBL_S4[["Thuis" ploeg (1)]:[VP 2]],8,FALSE), VLOOKUP(TBL_Rank[[#This Row],[Team Naam]],TBL_S4[["Uit" ploeg (2)]:[VP 2]],7,FALSE))</f>
        <v>6.3900000000000006</v>
      </c>
      <c r="R25" s="23">
        <f xml:space="preserve"> IFERROR(VLOOKUP(TBL_Rank[[#This Row],[Team Naam]],TBL_S5[["Thuis" ploeg (1)]:[VP 2]],8,FALSE), VLOOKUP(TBL_Rank[[#This Row],[Team Naam]],TBL_S5[["Uit" ploeg (2)]:[VP 2]],7,FALSE))</f>
        <v>11.83</v>
      </c>
      <c r="S25" s="23">
        <f xml:space="preserve"> IFERROR(VLOOKUP(TBL_Rank[[#This Row],[Team Naam]],TBL_S6[["Thuis" ploeg (1)]:[VP 2]],8,FALSE), VLOOKUP(TBL_Rank[[#This Row],[Team Naam]],TBL_S6[["Uit" ploeg (2)]:[VP 2]],7,FALSE))</f>
        <v>5.42</v>
      </c>
      <c r="T25" s="23">
        <f xml:space="preserve"> IFERROR(VLOOKUP(TBL_Rank[[#This Row],[Team Naam]],TBL_S7[["Thuis" ploeg (1)]:[VP 2]],8,FALSE), VLOOKUP(TBL_Rank[[#This Row],[Team Naam]],TBL_S7[["Uit" ploeg (2)]:[VP 2]],7,FALSE))</f>
        <v>11.83</v>
      </c>
      <c r="U25" s="74">
        <f xml:space="preserve"> IFERROR(VLOOKUP(TBL_Rank[[#This Row],[Team Naam]],TBL_S8[["Thuis" ploeg (1)]:[VP 2]],8,FALSE), VLOOKUP(TBL_Rank[[#This Row],[Team Naam]],TBL_S8[["Uit" ploeg (2)]:[VP 2]],7,FALSE))</f>
        <v>10.55</v>
      </c>
    </row>
    <row r="26" spans="2:21" x14ac:dyDescent="0.3">
      <c r="B26" s="72">
        <v>23</v>
      </c>
      <c r="C26" s="91">
        <v>3</v>
      </c>
      <c r="D26" s="95" t="str">
        <f xml:space="preserve"> VLOOKUP(TBL_Rank[[#This Row],[Team Nr]],TBL_Team[],2,FALSE)</f>
        <v>Geel 2</v>
      </c>
      <c r="E26" s="101">
        <f xml:space="preserve"> SUM(TBL_Rank[[#This Row],[Speeldag 1]:[Speeldag 8]])</f>
        <v>81.550000000000011</v>
      </c>
      <c r="F26" s="66">
        <f xml:space="preserve"> IFERROR(VLOOKUP(TBL_Rank[[#This Row],[Team Nr]],TBL_S1[[Nr 1]:[Nr 2]],5,FALSE), INDEX(TBL_S1[Nr 1], MATCH(TBL_Rank[[#This Row],[Team Nr]],TBL_S1[Nr 2],0)))</f>
        <v>42</v>
      </c>
      <c r="G26" s="65">
        <f xml:space="preserve"> IFERROR(VLOOKUP(TBL_Rank[[#This Row],[Team Nr]],TBL_S2[[Nr 1]:[Nr 2]],5,FALSE), INDEX(TBL_S2[Nr 1], MATCH(TBL_Rank[[#This Row],[Team Nr]],TBL_S2[Nr 2],0)))</f>
        <v>17</v>
      </c>
      <c r="H26" s="66">
        <f xml:space="preserve"> IFERROR(VLOOKUP(TBL_Rank[[#This Row],[Team Nr]],TBL_S3[[Nr 1]:[Nr 2]],5,FALSE), INDEX(TBL_S3[Nr 1], MATCH(TBL_Rank[[#This Row],[Team Nr]],TBL_S3[Nr 2],0)))</f>
        <v>43</v>
      </c>
      <c r="I26" s="65">
        <f xml:space="preserve"> IFERROR(VLOOKUP(TBL_Rank[[#This Row],[Team Nr]],TBL_S4[[Nr 1]:[Nr 2]],5,FALSE), INDEX(TBL_S4[Nr 1], MATCH(TBL_Rank[[#This Row],[Team Nr]],TBL_S4[Nr 2],0)))</f>
        <v>44</v>
      </c>
      <c r="J26" s="65">
        <f xml:space="preserve"> IFERROR(VLOOKUP(TBL_Rank[[#This Row],[Team Nr]],TBL_S5[[Nr 1]:[Nr 2]],5,FALSE), INDEX(TBL_S5[Nr 1], MATCH(TBL_Rank[[#This Row],[Team Nr]],TBL_S5[Nr 2],0)))</f>
        <v>10</v>
      </c>
      <c r="K26" s="66">
        <f xml:space="preserve"> IFERROR(VLOOKUP(TBL_Rank[[#This Row],[Team Nr]],TBL_S6[[Nr 1]:[Nr 2]],5,FALSE), INDEX(TBL_S6[Nr 1], MATCH(TBL_Rank[[#This Row],[Team Nr]],TBL_S6[Nr 2],0)))</f>
        <v>2</v>
      </c>
      <c r="L26" s="67">
        <f xml:space="preserve"> IFERROR(VLOOKUP(TBL_Rank[[#This Row],[Team Nr]],TBL_S7[[Nr 1]:[Nr 2]],5,FALSE), INDEX(TBL_S7[Nr 1], MATCH(TBL_Rank[[#This Row],[Team Nr]],TBL_S7[Nr 2],0)))</f>
        <v>40</v>
      </c>
      <c r="M26" s="68">
        <f xml:space="preserve"> IFERROR(VLOOKUP(TBL_Rank[[#This Row],[Team Nr]],TBL_S8[[Nr 1]:[Nr 2]],5,FALSE), INDEX(TBL_S8[Nr 1], MATCH(TBL_Rank[[#This Row],[Team Nr]],TBL_S8[Nr 2],0)))</f>
        <v>11</v>
      </c>
      <c r="N26" s="96">
        <f xml:space="preserve"> IFERROR(VLOOKUP(TBL_Rank[[#This Row],[Team Naam]],TBL_S1[["Thuis" ploeg (1)]:[VP 2]],8,FALSE), VLOOKUP(TBL_Rank[[#This Row],[Team Naam]],TBL_S1[["Uit" ploeg (2)]:[VP 2]],7,FALSE))</f>
        <v>3.620000000000001</v>
      </c>
      <c r="O26" s="23">
        <f xml:space="preserve"> IFERROR(VLOOKUP(TBL_Rank[[#This Row],[Team Naam]],TBL_S2[["Thuis" ploeg (1)]:[VP 2]],8,FALSE), VLOOKUP(TBL_Rank[[#This Row],[Team Naam]],TBL_S2[["Uit" ploeg (2)]:[VP 2]],7,FALSE))</f>
        <v>2.4400000000000013</v>
      </c>
      <c r="P26" s="23">
        <f xml:space="preserve"> IFERROR(VLOOKUP(TBL_Rank[[#This Row],[Team Naam]],TBL_S3[["Thuis" ploeg (1)]:[VP 2]],8,FALSE), VLOOKUP(TBL_Rank[[#This Row],[Team Naam]],TBL_S3[["Uit" ploeg (2)]:[VP 2]],7,FALSE))</f>
        <v>15.61</v>
      </c>
      <c r="Q26" s="23">
        <f xml:space="preserve"> IFERROR(VLOOKUP(TBL_Rank[[#This Row],[Team Naam]],TBL_S4[["Thuis" ploeg (1)]:[VP 2]],8,FALSE), VLOOKUP(TBL_Rank[[#This Row],[Team Naam]],TBL_S4[["Uit" ploeg (2)]:[VP 2]],7,FALSE))</f>
        <v>20</v>
      </c>
      <c r="R26" s="23">
        <f xml:space="preserve"> IFERROR(VLOOKUP(TBL_Rank[[#This Row],[Team Naam]],TBL_S5[["Thuis" ploeg (1)]:[VP 2]],8,FALSE), VLOOKUP(TBL_Rank[[#This Row],[Team Naam]],TBL_S5[["Uit" ploeg (2)]:[VP 2]],7,FALSE))</f>
        <v>19</v>
      </c>
      <c r="S26" s="23">
        <f xml:space="preserve"> IFERROR(VLOOKUP(TBL_Rank[[#This Row],[Team Naam]],TBL_S6[["Thuis" ploeg (1)]:[VP 2]],8,FALSE), VLOOKUP(TBL_Rank[[#This Row],[Team Naam]],TBL_S6[["Uit" ploeg (2)]:[VP 2]],7,FALSE))</f>
        <v>7.4700000000000006</v>
      </c>
      <c r="T26" s="23">
        <f xml:space="preserve"> IFERROR(VLOOKUP(TBL_Rank[[#This Row],[Team Naam]],TBL_S7[["Thuis" ploeg (1)]:[VP 2]],8,FALSE), VLOOKUP(TBL_Rank[[#This Row],[Team Naam]],TBL_S7[["Uit" ploeg (2)]:[VP 2]],7,FALSE))</f>
        <v>4.2300000000000004</v>
      </c>
      <c r="U26" s="74">
        <f xml:space="preserve"> IFERROR(VLOOKUP(TBL_Rank[[#This Row],[Team Naam]],TBL_S8[["Thuis" ploeg (1)]:[VP 2]],8,FALSE), VLOOKUP(TBL_Rank[[#This Row],[Team Naam]],TBL_S8[["Uit" ploeg (2)]:[VP 2]],7,FALSE))</f>
        <v>9.18</v>
      </c>
    </row>
    <row r="27" spans="2:21" x14ac:dyDescent="0.3">
      <c r="B27" s="99">
        <v>24</v>
      </c>
      <c r="C27" s="91">
        <v>13</v>
      </c>
      <c r="D27" s="92" t="str">
        <f xml:space="preserve"> VLOOKUP(TBL_Rank[[#This Row],[Team Nr]],TBL_Team[],2,FALSE)</f>
        <v>Heusden 3</v>
      </c>
      <c r="E27" s="101">
        <f xml:space="preserve"> SUM(TBL_Rank[[#This Row],[Speeldag 1]:[Speeldag 8]])</f>
        <v>81.319999999999979</v>
      </c>
      <c r="F27" s="68">
        <f xml:space="preserve"> IFERROR(VLOOKUP(TBL_Rank[[#This Row],[Team Nr]],TBL_S1[[Nr 1]:[Nr 2]],5,FALSE), INDEX(TBL_S1[Nr 1], MATCH(TBL_Rank[[#This Row],[Team Nr]],TBL_S1[Nr 2],0)))</f>
        <v>41</v>
      </c>
      <c r="G27" s="67">
        <f xml:space="preserve"> IFERROR(VLOOKUP(TBL_Rank[[#This Row],[Team Nr]],TBL_S2[[Nr 1]:[Nr 2]],5,FALSE), INDEX(TBL_S2[Nr 1], MATCH(TBL_Rank[[#This Row],[Team Nr]],TBL_S2[Nr 2],0)))</f>
        <v>46</v>
      </c>
      <c r="H27" s="68">
        <f xml:space="preserve"> IFERROR(VLOOKUP(TBL_Rank[[#This Row],[Team Nr]],TBL_S3[[Nr 1]:[Nr 2]],5,FALSE), INDEX(TBL_S3[Nr 1], MATCH(TBL_Rank[[#This Row],[Team Nr]],TBL_S3[Nr 2],0)))</f>
        <v>17</v>
      </c>
      <c r="I27" s="67">
        <f xml:space="preserve"> IFERROR(VLOOKUP(TBL_Rank[[#This Row],[Team Nr]],TBL_S4[[Nr 1]:[Nr 2]],5,FALSE), INDEX(TBL_S4[Nr 1], MATCH(TBL_Rank[[#This Row],[Team Nr]],TBL_S4[Nr 2],0)))</f>
        <v>34</v>
      </c>
      <c r="J27" s="67">
        <f xml:space="preserve"> IFERROR(VLOOKUP(TBL_Rank[[#This Row],[Team Nr]],TBL_S5[[Nr 1]:[Nr 2]],5,FALSE), INDEX(TBL_S5[Nr 1], MATCH(TBL_Rank[[#This Row],[Team Nr]],TBL_S5[Nr 2],0)))</f>
        <v>42</v>
      </c>
      <c r="K27" s="66">
        <f xml:space="preserve"> IFERROR(VLOOKUP(TBL_Rank[[#This Row],[Team Nr]],TBL_S6[[Nr 1]:[Nr 2]],5,FALSE), INDEX(TBL_S6[Nr 1], MATCH(TBL_Rank[[#This Row],[Team Nr]],TBL_S6[Nr 2],0)))</f>
        <v>1</v>
      </c>
      <c r="L27" s="67">
        <f xml:space="preserve"> IFERROR(VLOOKUP(TBL_Rank[[#This Row],[Team Nr]],TBL_S7[[Nr 1]:[Nr 2]],5,FALSE), INDEX(TBL_S7[Nr 1], MATCH(TBL_Rank[[#This Row],[Team Nr]],TBL_S7[Nr 2],0)))</f>
        <v>21</v>
      </c>
      <c r="M27" s="68">
        <f xml:space="preserve"> IFERROR(VLOOKUP(TBL_Rank[[#This Row],[Team Nr]],TBL_S8[[Nr 1]:[Nr 2]],5,FALSE), INDEX(TBL_S8[Nr 1], MATCH(TBL_Rank[[#This Row],[Team Nr]],TBL_S8[Nr 2],0)))</f>
        <v>30</v>
      </c>
      <c r="N27" s="96">
        <f xml:space="preserve"> IFERROR(VLOOKUP(TBL_Rank[[#This Row],[Team Naam]],TBL_S1[["Thuis" ploeg (1)]:[VP 2]],8,FALSE), VLOOKUP(TBL_Rank[[#This Row],[Team Naam]],TBL_S1[["Uit" ploeg (2)]:[VP 2]],7,FALSE))</f>
        <v>16.52</v>
      </c>
      <c r="O27" s="23">
        <f xml:space="preserve"> IFERROR(VLOOKUP(TBL_Rank[[#This Row],[Team Naam]],TBL_S2[["Thuis" ploeg (1)]:[VP 2]],8,FALSE), VLOOKUP(TBL_Rank[[#This Row],[Team Naam]],TBL_S2[["Uit" ploeg (2)]:[VP 2]],7,FALSE))</f>
        <v>5.42</v>
      </c>
      <c r="P27" s="23">
        <f xml:space="preserve"> IFERROR(VLOOKUP(TBL_Rank[[#This Row],[Team Naam]],TBL_S3[["Thuis" ploeg (1)]:[VP 2]],8,FALSE), VLOOKUP(TBL_Rank[[#This Row],[Team Naam]],TBL_S3[["Uit" ploeg (2)]:[VP 2]],7,FALSE))</f>
        <v>10</v>
      </c>
      <c r="Q27" s="23">
        <f xml:space="preserve"> IFERROR(VLOOKUP(TBL_Rank[[#This Row],[Team Naam]],TBL_S4[["Thuis" ploeg (1)]:[VP 2]],8,FALSE), VLOOKUP(TBL_Rank[[#This Row],[Team Naam]],TBL_S4[["Uit" ploeg (2)]:[VP 2]],7,FALSE))</f>
        <v>14.94</v>
      </c>
      <c r="R27" s="23">
        <f xml:space="preserve"> IFERROR(VLOOKUP(TBL_Rank[[#This Row],[Team Naam]],TBL_S5[["Thuis" ploeg (1)]:[VP 2]],8,FALSE), VLOOKUP(TBL_Rank[[#This Row],[Team Naam]],TBL_S5[["Uit" ploeg (2)]:[VP 2]],7,FALSE))</f>
        <v>1.2699999999999996</v>
      </c>
      <c r="S27" s="23">
        <f xml:space="preserve"> IFERROR(VLOOKUP(TBL_Rank[[#This Row],[Team Naam]],TBL_S6[["Thuis" ploeg (1)]:[VP 2]],8,FALSE), VLOOKUP(TBL_Rank[[#This Row],[Team Naam]],TBL_S6[["Uit" ploeg (2)]:[VP 2]],7,FALSE))</f>
        <v>19.649999999999999</v>
      </c>
      <c r="T27" s="23">
        <f xml:space="preserve"> IFERROR(VLOOKUP(TBL_Rank[[#This Row],[Team Naam]],TBL_S7[["Thuis" ploeg (1)]:[VP 2]],8,FALSE), VLOOKUP(TBL_Rank[[#This Row],[Team Naam]],TBL_S7[["Uit" ploeg (2)]:[VP 2]],7,FALSE))</f>
        <v>4.07</v>
      </c>
      <c r="U27" s="74">
        <f xml:space="preserve"> IFERROR(VLOOKUP(TBL_Rank[[#This Row],[Team Naam]],TBL_S8[["Thuis" ploeg (1)]:[VP 2]],8,FALSE), VLOOKUP(TBL_Rank[[#This Row],[Team Naam]],TBL_S8[["Uit" ploeg (2)]:[VP 2]],7,FALSE))</f>
        <v>9.4499999999999993</v>
      </c>
    </row>
    <row r="28" spans="2:21" x14ac:dyDescent="0.3">
      <c r="B28" s="72">
        <v>25</v>
      </c>
      <c r="C28" s="91">
        <v>29</v>
      </c>
      <c r="D28" s="92" t="str">
        <f xml:space="preserve"> VLOOKUP(TBL_Rank[[#This Row],[Team Nr]],TBL_Team[],2,FALSE)</f>
        <v>De Schlemielen</v>
      </c>
      <c r="E28" s="101">
        <f xml:space="preserve"> SUM(TBL_Rank[[#This Row],[Speeldag 1]:[Speeldag 8]])</f>
        <v>81.16</v>
      </c>
      <c r="F28" s="68">
        <f xml:space="preserve"> IFERROR(VLOOKUP(TBL_Rank[[#This Row],[Team Nr]],TBL_S1[[Nr 1]:[Nr 2]],5,FALSE), INDEX(TBL_S1[Nr 1], MATCH(TBL_Rank[[#This Row],[Team Nr]],TBL_S1[Nr 2],0)))</f>
        <v>7</v>
      </c>
      <c r="G28" s="67">
        <f xml:space="preserve"> IFERROR(VLOOKUP(TBL_Rank[[#This Row],[Team Nr]],TBL_S2[[Nr 1]:[Nr 2]],5,FALSE), INDEX(TBL_S2[Nr 1], MATCH(TBL_Rank[[#This Row],[Team Nr]],TBL_S2[Nr 2],0)))</f>
        <v>9</v>
      </c>
      <c r="H28" s="68">
        <f xml:space="preserve"> IFERROR(VLOOKUP(TBL_Rank[[#This Row],[Team Nr]],TBL_S3[[Nr 1]:[Nr 2]],5,FALSE), INDEX(TBL_S3[Nr 1], MATCH(TBL_Rank[[#This Row],[Team Nr]],TBL_S3[Nr 2],0)))</f>
        <v>14</v>
      </c>
      <c r="I28" s="67">
        <f xml:space="preserve"> IFERROR(VLOOKUP(TBL_Rank[[#This Row],[Team Nr]],TBL_S4[[Nr 1]:[Nr 2]],5,FALSE), INDEX(TBL_S4[Nr 1], MATCH(TBL_Rank[[#This Row],[Team Nr]],TBL_S4[Nr 2],0)))</f>
        <v>39</v>
      </c>
      <c r="J28" s="67">
        <f xml:space="preserve"> IFERROR(VLOOKUP(TBL_Rank[[#This Row],[Team Nr]],TBL_S5[[Nr 1]:[Nr 2]],5,FALSE), INDEX(TBL_S5[Nr 1], MATCH(TBL_Rank[[#This Row],[Team Nr]],TBL_S5[Nr 2],0)))</f>
        <v>33</v>
      </c>
      <c r="K28" s="66">
        <f xml:space="preserve"> IFERROR(VLOOKUP(TBL_Rank[[#This Row],[Team Nr]],TBL_S6[[Nr 1]:[Nr 2]],5,FALSE), INDEX(TBL_S6[Nr 1], MATCH(TBL_Rank[[#This Row],[Team Nr]],TBL_S6[Nr 2],0)))</f>
        <v>10</v>
      </c>
      <c r="L28" s="67">
        <f xml:space="preserve"> IFERROR(VLOOKUP(TBL_Rank[[#This Row],[Team Nr]],TBL_S7[[Nr 1]:[Nr 2]],5,FALSE), INDEX(TBL_S7[Nr 1], MATCH(TBL_Rank[[#This Row],[Team Nr]],TBL_S7[Nr 2],0)))</f>
        <v>25</v>
      </c>
      <c r="M28" s="68">
        <f xml:space="preserve"> IFERROR(VLOOKUP(TBL_Rank[[#This Row],[Team Nr]],TBL_S8[[Nr 1]:[Nr 2]],5,FALSE), INDEX(TBL_S8[Nr 1], MATCH(TBL_Rank[[#This Row],[Team Nr]],TBL_S8[Nr 2],0)))</f>
        <v>20</v>
      </c>
      <c r="N28" s="96">
        <f xml:space="preserve"> IFERROR(VLOOKUP(TBL_Rank[[#This Row],[Team Naam]],TBL_S1[["Thuis" ploeg (1)]:[VP 2]],8,FALSE), VLOOKUP(TBL_Rank[[#This Row],[Team Naam]],TBL_S1[["Uit" ploeg (2)]:[VP 2]],7,FALSE))</f>
        <v>0</v>
      </c>
      <c r="O28" s="23">
        <f xml:space="preserve"> IFERROR(VLOOKUP(TBL_Rank[[#This Row],[Team Naam]],TBL_S2[["Thuis" ploeg (1)]:[VP 2]],8,FALSE), VLOOKUP(TBL_Rank[[#This Row],[Team Naam]],TBL_S2[["Uit" ploeg (2)]:[VP 2]],7,FALSE))</f>
        <v>17.440000000000001</v>
      </c>
      <c r="P28" s="23">
        <f xml:space="preserve"> IFERROR(VLOOKUP(TBL_Rank[[#This Row],[Team Naam]],TBL_S3[["Thuis" ploeg (1)]:[VP 2]],8,FALSE), VLOOKUP(TBL_Rank[[#This Row],[Team Naam]],TBL_S3[["Uit" ploeg (2)]:[VP 2]],7,FALSE))</f>
        <v>4.7200000000000006</v>
      </c>
      <c r="Q28" s="23">
        <f xml:space="preserve"> IFERROR(VLOOKUP(TBL_Rank[[#This Row],[Team Naam]],TBL_S4[["Thuis" ploeg (1)]:[VP 2]],8,FALSE), VLOOKUP(TBL_Rank[[#This Row],[Team Naam]],TBL_S4[["Uit" ploeg (2)]:[VP 2]],7,FALSE))</f>
        <v>13.2</v>
      </c>
      <c r="R28" s="23">
        <f xml:space="preserve"> IFERROR(VLOOKUP(TBL_Rank[[#This Row],[Team Naam]],TBL_S5[["Thuis" ploeg (1)]:[VP 2]],8,FALSE), VLOOKUP(TBL_Rank[[#This Row],[Team Naam]],TBL_S5[["Uit" ploeg (2)]:[VP 2]],7,FALSE))</f>
        <v>4.8900000000000006</v>
      </c>
      <c r="S28" s="23">
        <f xml:space="preserve"> IFERROR(VLOOKUP(TBL_Rank[[#This Row],[Team Naam]],TBL_S6[["Thuis" ploeg (1)]:[VP 2]],8,FALSE), VLOOKUP(TBL_Rank[[#This Row],[Team Naam]],TBL_S6[["Uit" ploeg (2)]:[VP 2]],7,FALSE))</f>
        <v>14.39</v>
      </c>
      <c r="T28" s="23">
        <f xml:space="preserve"> IFERROR(VLOOKUP(TBL_Rank[[#This Row],[Team Naam]],TBL_S7[["Thuis" ploeg (1)]:[VP 2]],8,FALSE), VLOOKUP(TBL_Rank[[#This Row],[Team Naam]],TBL_S7[["Uit" ploeg (2)]:[VP 2]],7,FALSE))</f>
        <v>19.93</v>
      </c>
      <c r="U28" s="74">
        <f xml:space="preserve"> IFERROR(VLOOKUP(TBL_Rank[[#This Row],[Team Naam]],TBL_S8[["Thuis" ploeg (1)]:[VP 2]],8,FALSE), VLOOKUP(TBL_Rank[[#This Row],[Team Naam]],TBL_S8[["Uit" ploeg (2)]:[VP 2]],7,FALSE))</f>
        <v>6.59</v>
      </c>
    </row>
    <row r="29" spans="2:21" x14ac:dyDescent="0.3">
      <c r="B29" s="72">
        <v>26</v>
      </c>
      <c r="C29" s="91">
        <v>36</v>
      </c>
      <c r="D29" s="92" t="str">
        <f xml:space="preserve"> VLOOKUP(TBL_Rank[[#This Row],[Team Nr]],TBL_Team[],2,FALSE)</f>
        <v>Voer</v>
      </c>
      <c r="E29" s="101">
        <f xml:space="preserve"> SUM(TBL_Rank[[#This Row],[Speeldag 1]:[Speeldag 8]])</f>
        <v>80.849999999999994</v>
      </c>
      <c r="F29" s="68">
        <f xml:space="preserve"> IFERROR(VLOOKUP(TBL_Rank[[#This Row],[Team Nr]],TBL_S1[[Nr 1]:[Nr 2]],5,FALSE), INDEX(TBL_S1[Nr 1], MATCH(TBL_Rank[[#This Row],[Team Nr]],TBL_S1[Nr 2],0)))</f>
        <v>14</v>
      </c>
      <c r="G29" s="67">
        <f xml:space="preserve"> IFERROR(VLOOKUP(TBL_Rank[[#This Row],[Team Nr]],TBL_S2[[Nr 1]:[Nr 2]],5,FALSE), INDEX(TBL_S2[Nr 1], MATCH(TBL_Rank[[#This Row],[Team Nr]],TBL_S2[Nr 2],0)))</f>
        <v>24</v>
      </c>
      <c r="H29" s="68">
        <f xml:space="preserve"> IFERROR(VLOOKUP(TBL_Rank[[#This Row],[Team Nr]],TBL_S3[[Nr 1]:[Nr 2]],5,FALSE), INDEX(TBL_S3[Nr 1], MATCH(TBL_Rank[[#This Row],[Team Nr]],TBL_S3[Nr 2],0)))</f>
        <v>32</v>
      </c>
      <c r="I29" s="67">
        <f xml:space="preserve"> IFERROR(VLOOKUP(TBL_Rank[[#This Row],[Team Nr]],TBL_S4[[Nr 1]:[Nr 2]],5,FALSE), INDEX(TBL_S4[Nr 1], MATCH(TBL_Rank[[#This Row],[Team Nr]],TBL_S4[Nr 2],0)))</f>
        <v>9</v>
      </c>
      <c r="J29" s="67">
        <f xml:space="preserve"> IFERROR(VLOOKUP(TBL_Rank[[#This Row],[Team Nr]],TBL_S5[[Nr 1]:[Nr 2]],5,FALSE), INDEX(TBL_S5[Nr 1], MATCH(TBL_Rank[[#This Row],[Team Nr]],TBL_S5[Nr 2],0)))</f>
        <v>21</v>
      </c>
      <c r="K29" s="66">
        <f xml:space="preserve"> IFERROR(VLOOKUP(TBL_Rank[[#This Row],[Team Nr]],TBL_S6[[Nr 1]:[Nr 2]],5,FALSE), INDEX(TBL_S6[Nr 1], MATCH(TBL_Rank[[#This Row],[Team Nr]],TBL_S6[Nr 2],0)))</f>
        <v>38</v>
      </c>
      <c r="L29" s="67">
        <f xml:space="preserve"> IFERROR(VLOOKUP(TBL_Rank[[#This Row],[Team Nr]],TBL_S7[[Nr 1]:[Nr 2]],5,FALSE), INDEX(TBL_S7[Nr 1], MATCH(TBL_Rank[[#This Row],[Team Nr]],TBL_S7[Nr 2],0)))</f>
        <v>34</v>
      </c>
      <c r="M29" s="68">
        <f xml:space="preserve"> IFERROR(VLOOKUP(TBL_Rank[[#This Row],[Team Nr]],TBL_S8[[Nr 1]:[Nr 2]],5,FALSE), INDEX(TBL_S8[Nr 1], MATCH(TBL_Rank[[#This Row],[Team Nr]],TBL_S8[Nr 2],0)))</f>
        <v>1</v>
      </c>
      <c r="N29" s="96">
        <f xml:space="preserve"> IFERROR(VLOOKUP(TBL_Rank[[#This Row],[Team Naam]],TBL_S1[["Thuis" ploeg (1)]:[VP 2]],8,FALSE), VLOOKUP(TBL_Rank[[#This Row],[Team Naam]],TBL_S1[["Uit" ploeg (2)]:[VP 2]],7,FALSE))</f>
        <v>11.83</v>
      </c>
      <c r="O29" s="57">
        <f xml:space="preserve"> IFERROR(VLOOKUP(TBL_Rank[[#This Row],[Team Naam]],TBL_S2[["Thuis" ploeg (1)]:[VP 2]],8,FALSE), VLOOKUP(TBL_Rank[[#This Row],[Team Naam]],TBL_S2[["Uit" ploeg (2)]:[VP 2]],7,FALSE))</f>
        <v>5.24</v>
      </c>
      <c r="P29" s="57">
        <f xml:space="preserve"> IFERROR(VLOOKUP(TBL_Rank[[#This Row],[Team Naam]],TBL_S3[["Thuis" ploeg (1)]:[VP 2]],8,FALSE), VLOOKUP(TBL_Rank[[#This Row],[Team Naam]],TBL_S3[["Uit" ploeg (2)]:[VP 2]],7,FALSE))</f>
        <v>0</v>
      </c>
      <c r="Q29" s="57">
        <f xml:space="preserve"> IFERROR(VLOOKUP(TBL_Rank[[#This Row],[Team Naam]],TBL_S4[["Thuis" ploeg (1)]:[VP 2]],8,FALSE), VLOOKUP(TBL_Rank[[#This Row],[Team Naam]],TBL_S4[["Uit" ploeg (2)]:[VP 2]],7,FALSE))</f>
        <v>12.76</v>
      </c>
      <c r="R29" s="57">
        <f xml:space="preserve"> IFERROR(VLOOKUP(TBL_Rank[[#This Row],[Team Naam]],TBL_S5[["Thuis" ploeg (1)]:[VP 2]],8,FALSE), VLOOKUP(TBL_Rank[[#This Row],[Team Naam]],TBL_S5[["Uit" ploeg (2)]:[VP 2]],7,FALSE))</f>
        <v>7.02</v>
      </c>
      <c r="S29" s="57">
        <f xml:space="preserve"> IFERROR(VLOOKUP(TBL_Rank[[#This Row],[Team Naam]],TBL_S6[["Thuis" ploeg (1)]:[VP 2]],8,FALSE), VLOOKUP(TBL_Rank[[#This Row],[Team Naam]],TBL_S6[["Uit" ploeg (2)]:[VP 2]],7,FALSE))</f>
        <v>12.76</v>
      </c>
      <c r="T29" s="57">
        <f xml:space="preserve"> IFERROR(VLOOKUP(TBL_Rank[[#This Row],[Team Naam]],TBL_S7[["Thuis" ploeg (1)]:[VP 2]],8,FALSE), VLOOKUP(TBL_Rank[[#This Row],[Team Naam]],TBL_S7[["Uit" ploeg (2)]:[VP 2]],7,FALSE))</f>
        <v>11.59</v>
      </c>
      <c r="U29" s="75">
        <f xml:space="preserve"> IFERROR(VLOOKUP(TBL_Rank[[#This Row],[Team Naam]],TBL_S8[["Thuis" ploeg (1)]:[VP 2]],8,FALSE), VLOOKUP(TBL_Rank[[#This Row],[Team Naam]],TBL_S8[["Uit" ploeg (2)]:[VP 2]],7,FALSE))</f>
        <v>19.649999999999999</v>
      </c>
    </row>
    <row r="30" spans="2:21" x14ac:dyDescent="0.3">
      <c r="B30" s="72">
        <v>27</v>
      </c>
      <c r="C30" s="91">
        <v>4</v>
      </c>
      <c r="D30" s="95" t="str">
        <f xml:space="preserve"> VLOOKUP(TBL_Rank[[#This Row],[Team Nr]],TBL_Team[],2,FALSE)</f>
        <v>De plankierkaarters</v>
      </c>
      <c r="E30" s="101">
        <f xml:space="preserve"> SUM(TBL_Rank[[#This Row],[Speeldag 1]:[Speeldag 8]])</f>
        <v>77.480000000000018</v>
      </c>
      <c r="F30" s="66">
        <f xml:space="preserve"> IFERROR(VLOOKUP(TBL_Rank[[#This Row],[Team Nr]],TBL_S1[[Nr 1]:[Nr 2]],5,FALSE), INDEX(TBL_S1[Nr 1], MATCH(TBL_Rank[[#This Row],[Team Nr]],TBL_S1[Nr 2],0)))</f>
        <v>11</v>
      </c>
      <c r="G30" s="65">
        <f xml:space="preserve"> IFERROR(VLOOKUP(TBL_Rank[[#This Row],[Team Nr]],TBL_S2[[Nr 1]:[Nr 2]],5,FALSE), INDEX(TBL_S2[Nr 1], MATCH(TBL_Rank[[#This Row],[Team Nr]],TBL_S2[Nr 2],0)))</f>
        <v>25</v>
      </c>
      <c r="H30" s="66">
        <f xml:space="preserve"> IFERROR(VLOOKUP(TBL_Rank[[#This Row],[Team Nr]],TBL_S3[[Nr 1]:[Nr 2]],5,FALSE), INDEX(TBL_S3[Nr 1], MATCH(TBL_Rank[[#This Row],[Team Nr]],TBL_S3[Nr 2],0)))</f>
        <v>28</v>
      </c>
      <c r="I30" s="65">
        <f xml:space="preserve"> IFERROR(VLOOKUP(TBL_Rank[[#This Row],[Team Nr]],TBL_S4[[Nr 1]:[Nr 2]],5,FALSE), INDEX(TBL_S4[Nr 1], MATCH(TBL_Rank[[#This Row],[Team Nr]],TBL_S4[Nr 2],0)))</f>
        <v>7</v>
      </c>
      <c r="J30" s="65">
        <f xml:space="preserve"> IFERROR(VLOOKUP(TBL_Rank[[#This Row],[Team Nr]],TBL_S5[[Nr 1]:[Nr 2]],5,FALSE), INDEX(TBL_S5[Nr 1], MATCH(TBL_Rank[[#This Row],[Team Nr]],TBL_S5[Nr 2],0)))</f>
        <v>32</v>
      </c>
      <c r="K30" s="66">
        <f xml:space="preserve"> IFERROR(VLOOKUP(TBL_Rank[[#This Row],[Team Nr]],TBL_S6[[Nr 1]:[Nr 2]],5,FALSE), INDEX(TBL_S6[Nr 1], MATCH(TBL_Rank[[#This Row],[Team Nr]],TBL_S6[Nr 2],0)))</f>
        <v>37</v>
      </c>
      <c r="L30" s="67">
        <f xml:space="preserve"> IFERROR(VLOOKUP(TBL_Rank[[#This Row],[Team Nr]],TBL_S7[[Nr 1]:[Nr 2]],5,FALSE), INDEX(TBL_S7[Nr 1], MATCH(TBL_Rank[[#This Row],[Team Nr]],TBL_S7[Nr 2],0)))</f>
        <v>17</v>
      </c>
      <c r="M30" s="68">
        <f xml:space="preserve"> IFERROR(VLOOKUP(TBL_Rank[[#This Row],[Team Nr]],TBL_S8[[Nr 1]:[Nr 2]],5,FALSE), INDEX(TBL_S8[Nr 1], MATCH(TBL_Rank[[#This Row],[Team Nr]],TBL_S8[Nr 2],0)))</f>
        <v>33</v>
      </c>
      <c r="N30" s="96">
        <f xml:space="preserve"> IFERROR(VLOOKUP(TBL_Rank[[#This Row],[Team Naam]],TBL_S1[["Thuis" ploeg (1)]:[VP 2]],8,FALSE), VLOOKUP(TBL_Rank[[#This Row],[Team Naam]],TBL_S1[["Uit" ploeg (2)]:[VP 2]],7,FALSE))</f>
        <v>17.190000000000001</v>
      </c>
      <c r="O30" s="23">
        <f xml:space="preserve"> IFERROR(VLOOKUP(TBL_Rank[[#This Row],[Team Naam]],TBL_S2[["Thuis" ploeg (1)]:[VP 2]],8,FALSE), VLOOKUP(TBL_Rank[[#This Row],[Team Naam]],TBL_S2[["Uit" ploeg (2)]:[VP 2]],7,FALSE))</f>
        <v>19.79</v>
      </c>
      <c r="P30" s="23">
        <f xml:space="preserve"> IFERROR(VLOOKUP(TBL_Rank[[#This Row],[Team Naam]],TBL_S3[["Thuis" ploeg (1)]:[VP 2]],8,FALSE), VLOOKUP(TBL_Rank[[#This Row],[Team Naam]],TBL_S3[["Uit" ploeg (2)]:[VP 2]],7,FALSE))</f>
        <v>8.17</v>
      </c>
      <c r="Q30" s="23">
        <f xml:space="preserve"> IFERROR(VLOOKUP(TBL_Rank[[#This Row],[Team Naam]],TBL_S4[["Thuis" ploeg (1)]:[VP 2]],8,FALSE), VLOOKUP(TBL_Rank[[#This Row],[Team Naam]],TBL_S4[["Uit" ploeg (2)]:[VP 2]],7,FALSE))</f>
        <v>9.4499999999999993</v>
      </c>
      <c r="R30" s="23">
        <f xml:space="preserve"> IFERROR(VLOOKUP(TBL_Rank[[#This Row],[Team Naam]],TBL_S5[["Thuis" ploeg (1)]:[VP 2]],8,FALSE), VLOOKUP(TBL_Rank[[#This Row],[Team Naam]],TBL_S5[["Uit" ploeg (2)]:[VP 2]],7,FALSE))</f>
        <v>3.34</v>
      </c>
      <c r="S30" s="23">
        <f xml:space="preserve"> IFERROR(VLOOKUP(TBL_Rank[[#This Row],[Team Naam]],TBL_S6[["Thuis" ploeg (1)]:[VP 2]],8,FALSE), VLOOKUP(TBL_Rank[[#This Row],[Team Naam]],TBL_S6[["Uit" ploeg (2)]:[VP 2]],7,FALSE))</f>
        <v>3.620000000000001</v>
      </c>
      <c r="T30" s="23">
        <f xml:space="preserve"> IFERROR(VLOOKUP(TBL_Rank[[#This Row],[Team Naam]],TBL_S7[["Thuis" ploeg (1)]:[VP 2]],8,FALSE), VLOOKUP(TBL_Rank[[#This Row],[Team Naam]],TBL_S7[["Uit" ploeg (2)]:[VP 2]],7,FALSE))</f>
        <v>2.9400000000000013</v>
      </c>
      <c r="U30" s="74">
        <f xml:space="preserve"> IFERROR(VLOOKUP(TBL_Rank[[#This Row],[Team Naam]],TBL_S8[["Thuis" ploeg (1)]:[VP 2]],8,FALSE), VLOOKUP(TBL_Rank[[#This Row],[Team Naam]],TBL_S8[["Uit" ploeg (2)]:[VP 2]],7,FALSE))</f>
        <v>12.98</v>
      </c>
    </row>
    <row r="31" spans="2:21" x14ac:dyDescent="0.3">
      <c r="B31" s="72">
        <v>28</v>
      </c>
      <c r="C31" s="91">
        <v>23</v>
      </c>
      <c r="D31" s="92" t="str">
        <f xml:space="preserve"> VLOOKUP(TBL_Rank[[#This Row],[Team Nr]],TBL_Team[],2,FALSE)</f>
        <v>Heusden 2</v>
      </c>
      <c r="E31" s="102">
        <f xml:space="preserve"> SUM(TBL_Rank[[#This Row],[Speeldag 1]:[Speeldag 8]])</f>
        <v>76.28</v>
      </c>
      <c r="F31" s="68">
        <f xml:space="preserve"> IFERROR(VLOOKUP(TBL_Rank[[#This Row],[Team Nr]],TBL_S1[[Nr 1]:[Nr 2]],5,FALSE), INDEX(TBL_S1[Nr 1], MATCH(TBL_Rank[[#This Row],[Team Nr]],TBL_S1[Nr 2],0)))</f>
        <v>31</v>
      </c>
      <c r="G31" s="67">
        <f xml:space="preserve"> IFERROR(VLOOKUP(TBL_Rank[[#This Row],[Team Nr]],TBL_S2[[Nr 1]:[Nr 2]],5,FALSE), INDEX(TBL_S2[Nr 1], MATCH(TBL_Rank[[#This Row],[Team Nr]],TBL_S2[Nr 2],0)))</f>
        <v>6</v>
      </c>
      <c r="H31" s="68">
        <f xml:space="preserve"> IFERROR(VLOOKUP(TBL_Rank[[#This Row],[Team Nr]],TBL_S3[[Nr 1]:[Nr 2]],5,FALSE), INDEX(TBL_S3[Nr 1], MATCH(TBL_Rank[[#This Row],[Team Nr]],TBL_S3[Nr 2],0)))</f>
        <v>5</v>
      </c>
      <c r="I31" s="67">
        <f xml:space="preserve"> IFERROR(VLOOKUP(TBL_Rank[[#This Row],[Team Nr]],TBL_S4[[Nr 1]:[Nr 2]],5,FALSE), INDEX(TBL_S4[Nr 1], MATCH(TBL_Rank[[#This Row],[Team Nr]],TBL_S4[Nr 2],0)))</f>
        <v>17</v>
      </c>
      <c r="J31" s="67">
        <f xml:space="preserve"> IFERROR(VLOOKUP(TBL_Rank[[#This Row],[Team Nr]],TBL_S5[[Nr 1]:[Nr 2]],5,FALSE), INDEX(TBL_S5[Nr 1], MATCH(TBL_Rank[[#This Row],[Team Nr]],TBL_S5[Nr 2],0)))</f>
        <v>46</v>
      </c>
      <c r="K31" s="66">
        <f xml:space="preserve"> IFERROR(VLOOKUP(TBL_Rank[[#This Row],[Team Nr]],TBL_S6[[Nr 1]:[Nr 2]],5,FALSE), INDEX(TBL_S6[Nr 1], MATCH(TBL_Rank[[#This Row],[Team Nr]],TBL_S6[Nr 2],0)))</f>
        <v>11</v>
      </c>
      <c r="L31" s="67">
        <f xml:space="preserve"> IFERROR(VLOOKUP(TBL_Rank[[#This Row],[Team Nr]],TBL_S7[[Nr 1]:[Nr 2]],5,FALSE), INDEX(TBL_S7[Nr 1], MATCH(TBL_Rank[[#This Row],[Team Nr]],TBL_S7[Nr 2],0)))</f>
        <v>45</v>
      </c>
      <c r="M31" s="68">
        <f xml:space="preserve"> IFERROR(VLOOKUP(TBL_Rank[[#This Row],[Team Nr]],TBL_S8[[Nr 1]:[Nr 2]],5,FALSE), INDEX(TBL_S8[Nr 1], MATCH(TBL_Rank[[#This Row],[Team Nr]],TBL_S8[Nr 2],0)))</f>
        <v>27</v>
      </c>
      <c r="N31" s="97">
        <f xml:space="preserve"> IFERROR(VLOOKUP(TBL_Rank[[#This Row],[Team Naam]],TBL_S1[["Thuis" ploeg (1)]:[VP 2]],8,FALSE), VLOOKUP(TBL_Rank[[#This Row],[Team Naam]],TBL_S1[["Uit" ploeg (2)]:[VP 2]],7,FALSE))</f>
        <v>8.17</v>
      </c>
      <c r="O31" s="57">
        <f xml:space="preserve"> IFERROR(VLOOKUP(TBL_Rank[[#This Row],[Team Naam]],TBL_S2[["Thuis" ploeg (1)]:[VP 2]],8,FALSE), VLOOKUP(TBL_Rank[[#This Row],[Team Naam]],TBL_S2[["Uit" ploeg (2)]:[VP 2]],7,FALSE))</f>
        <v>14.58</v>
      </c>
      <c r="P31" s="57">
        <f xml:space="preserve"> IFERROR(VLOOKUP(TBL_Rank[[#This Row],[Team Naam]],TBL_S3[["Thuis" ploeg (1)]:[VP 2]],8,FALSE), VLOOKUP(TBL_Rank[[#This Row],[Team Naam]],TBL_S3[["Uit" ploeg (2)]:[VP 2]],7,FALSE))</f>
        <v>7.24</v>
      </c>
      <c r="Q31" s="57">
        <f xml:space="preserve"> IFERROR(VLOOKUP(TBL_Rank[[#This Row],[Team Naam]],TBL_S4[["Thuis" ploeg (1)]:[VP 2]],8,FALSE), VLOOKUP(TBL_Rank[[#This Row],[Team Naam]],TBL_S4[["Uit" ploeg (2)]:[VP 2]],7,FALSE))</f>
        <v>15.28</v>
      </c>
      <c r="R31" s="57">
        <f xml:space="preserve"> IFERROR(VLOOKUP(TBL_Rank[[#This Row],[Team Naam]],TBL_S5[["Thuis" ploeg (1)]:[VP 2]],8,FALSE), VLOOKUP(TBL_Rank[[#This Row],[Team Naam]],TBL_S5[["Uit" ploeg (2)]:[VP 2]],7,FALSE))</f>
        <v>6.1899999999999995</v>
      </c>
      <c r="S31" s="57">
        <f xml:space="preserve"> IFERROR(VLOOKUP(TBL_Rank[[#This Row],[Team Naam]],TBL_S6[["Thuis" ploeg (1)]:[VP 2]],8,FALSE), VLOOKUP(TBL_Rank[[#This Row],[Team Naam]],TBL_S6[["Uit" ploeg (2)]:[VP 2]],7,FALSE))</f>
        <v>6.8000000000000007</v>
      </c>
      <c r="T31" s="57">
        <f xml:space="preserve"> IFERROR(VLOOKUP(TBL_Rank[[#This Row],[Team Naam]],TBL_S7[["Thuis" ploeg (1)]:[VP 2]],8,FALSE), VLOOKUP(TBL_Rank[[#This Row],[Team Naam]],TBL_S7[["Uit" ploeg (2)]:[VP 2]],7,FALSE))</f>
        <v>7.4700000000000006</v>
      </c>
      <c r="U31" s="75">
        <f xml:space="preserve"> IFERROR(VLOOKUP(TBL_Rank[[#This Row],[Team Naam]],TBL_S8[["Thuis" ploeg (1)]:[VP 2]],8,FALSE), VLOOKUP(TBL_Rank[[#This Row],[Team Naam]],TBL_S8[["Uit" ploeg (2)]:[VP 2]],7,FALSE))</f>
        <v>10.55</v>
      </c>
    </row>
    <row r="32" spans="2:21" x14ac:dyDescent="0.3">
      <c r="B32" s="72">
        <v>29</v>
      </c>
      <c r="C32" s="91">
        <v>24</v>
      </c>
      <c r="D32" s="92" t="str">
        <f xml:space="preserve"> VLOOKUP(TBL_Rank[[#This Row],[Team Nr]],TBL_Team[],2,FALSE)</f>
        <v>Kollebloem Puurs</v>
      </c>
      <c r="E32" s="102">
        <f xml:space="preserve"> SUM(TBL_Rank[[#This Row],[Speeldag 1]:[Speeldag 8]])</f>
        <v>76.05</v>
      </c>
      <c r="F32" s="68">
        <f xml:space="preserve"> IFERROR(VLOOKUP(TBL_Rank[[#This Row],[Team Nr]],TBL_S1[[Nr 1]:[Nr 2]],5,FALSE), INDEX(TBL_S1[Nr 1], MATCH(TBL_Rank[[#This Row],[Team Nr]],TBL_S1[Nr 2],0)))</f>
        <v>40</v>
      </c>
      <c r="G32" s="67">
        <f xml:space="preserve"> IFERROR(VLOOKUP(TBL_Rank[[#This Row],[Team Nr]],TBL_S2[[Nr 1]:[Nr 2]],5,FALSE), INDEX(TBL_S2[Nr 1], MATCH(TBL_Rank[[#This Row],[Team Nr]],TBL_S2[Nr 2],0)))</f>
        <v>36</v>
      </c>
      <c r="H32" s="68">
        <f xml:space="preserve"> IFERROR(VLOOKUP(TBL_Rank[[#This Row],[Team Nr]],TBL_S3[[Nr 1]:[Nr 2]],5,FALSE), INDEX(TBL_S3[Nr 1], MATCH(TBL_Rank[[#This Row],[Team Nr]],TBL_S3[Nr 2],0)))</f>
        <v>37</v>
      </c>
      <c r="I32" s="67">
        <f xml:space="preserve"> IFERROR(VLOOKUP(TBL_Rank[[#This Row],[Team Nr]],TBL_S4[[Nr 1]:[Nr 2]],5,FALSE), INDEX(TBL_S4[Nr 1], MATCH(TBL_Rank[[#This Row],[Team Nr]],TBL_S4[Nr 2],0)))</f>
        <v>42</v>
      </c>
      <c r="J32" s="67">
        <f xml:space="preserve"> IFERROR(VLOOKUP(TBL_Rank[[#This Row],[Team Nr]],TBL_S5[[Nr 1]:[Nr 2]],5,FALSE), INDEX(TBL_S5[Nr 1], MATCH(TBL_Rank[[#This Row],[Team Nr]],TBL_S5[Nr 2],0)))</f>
        <v>6</v>
      </c>
      <c r="K32" s="66">
        <f xml:space="preserve"> IFERROR(VLOOKUP(TBL_Rank[[#This Row],[Team Nr]],TBL_S6[[Nr 1]:[Nr 2]],5,FALSE), INDEX(TBL_S6[Nr 1], MATCH(TBL_Rank[[#This Row],[Team Nr]],TBL_S6[Nr 2],0)))</f>
        <v>20</v>
      </c>
      <c r="L32" s="67">
        <f xml:space="preserve"> IFERROR(VLOOKUP(TBL_Rank[[#This Row],[Team Nr]],TBL_S7[[Nr 1]:[Nr 2]],5,FALSE), INDEX(TBL_S7[Nr 1], MATCH(TBL_Rank[[#This Row],[Team Nr]],TBL_S7[Nr 2],0)))</f>
        <v>27</v>
      </c>
      <c r="M32" s="68">
        <f xml:space="preserve"> IFERROR(VLOOKUP(TBL_Rank[[#This Row],[Team Nr]],TBL_S8[[Nr 1]:[Nr 2]],5,FALSE), INDEX(TBL_S8[Nr 1], MATCH(TBL_Rank[[#This Row],[Team Nr]],TBL_S8[Nr 2],0)))</f>
        <v>45</v>
      </c>
      <c r="N32" s="97">
        <f xml:space="preserve"> IFERROR(VLOOKUP(TBL_Rank[[#This Row],[Team Naam]],TBL_S1[["Thuis" ploeg (1)]:[VP 2]],8,FALSE), VLOOKUP(TBL_Rank[[#This Row],[Team Naam]],TBL_S1[["Uit" ploeg (2)]:[VP 2]],7,FALSE))</f>
        <v>11.34</v>
      </c>
      <c r="O32" s="57">
        <f xml:space="preserve"> IFERROR(VLOOKUP(TBL_Rank[[#This Row],[Team Naam]],TBL_S2[["Thuis" ploeg (1)]:[VP 2]],8,FALSE), VLOOKUP(TBL_Rank[[#This Row],[Team Naam]],TBL_S2[["Uit" ploeg (2)]:[VP 2]],7,FALSE))</f>
        <v>14.76</v>
      </c>
      <c r="P32" s="57">
        <f xml:space="preserve"> IFERROR(VLOOKUP(TBL_Rank[[#This Row],[Team Naam]],TBL_S3[["Thuis" ploeg (1)]:[VP 2]],8,FALSE), VLOOKUP(TBL_Rank[[#This Row],[Team Naam]],TBL_S3[["Uit" ploeg (2)]:[VP 2]],7,FALSE))</f>
        <v>12.98</v>
      </c>
      <c r="Q32" s="57">
        <f xml:space="preserve"> IFERROR(VLOOKUP(TBL_Rank[[#This Row],[Team Naam]],TBL_S4[["Thuis" ploeg (1)]:[VP 2]],8,FALSE), VLOOKUP(TBL_Rank[[#This Row],[Team Naam]],TBL_S4[["Uit" ploeg (2)]:[VP 2]],7,FALSE))</f>
        <v>12.3</v>
      </c>
      <c r="R32" s="57">
        <f xml:space="preserve"> IFERROR(VLOOKUP(TBL_Rank[[#This Row],[Team Naam]],TBL_S5[["Thuis" ploeg (1)]:[VP 2]],8,FALSE), VLOOKUP(TBL_Rank[[#This Row],[Team Naam]],TBL_S5[["Uit" ploeg (2)]:[VP 2]],7,FALSE))</f>
        <v>1.370000000000001</v>
      </c>
      <c r="S32" s="57">
        <f xml:space="preserve"> IFERROR(VLOOKUP(TBL_Rank[[#This Row],[Team Naam]],TBL_S6[["Thuis" ploeg (1)]:[VP 2]],8,FALSE), VLOOKUP(TBL_Rank[[#This Row],[Team Naam]],TBL_S6[["Uit" ploeg (2)]:[VP 2]],7,FALSE))</f>
        <v>5.99</v>
      </c>
      <c r="T32" s="57">
        <f xml:space="preserve"> IFERROR(VLOOKUP(TBL_Rank[[#This Row],[Team Naam]],TBL_S7[["Thuis" ploeg (1)]:[VP 2]],8,FALSE), VLOOKUP(TBL_Rank[[#This Row],[Team Naam]],TBL_S7[["Uit" ploeg (2)]:[VP 2]],7,FALSE))</f>
        <v>12.76</v>
      </c>
      <c r="U32" s="75">
        <f xml:space="preserve"> IFERROR(VLOOKUP(TBL_Rank[[#This Row],[Team Naam]],TBL_S8[["Thuis" ploeg (1)]:[VP 2]],8,FALSE), VLOOKUP(TBL_Rank[[#This Row],[Team Naam]],TBL_S8[["Uit" ploeg (2)]:[VP 2]],7,FALSE))</f>
        <v>4.5500000000000007</v>
      </c>
    </row>
    <row r="33" spans="2:21" x14ac:dyDescent="0.3">
      <c r="B33" s="72">
        <v>30</v>
      </c>
      <c r="C33" s="91">
        <v>27</v>
      </c>
      <c r="D33" s="92" t="str">
        <f xml:space="preserve"> VLOOKUP(TBL_Rank[[#This Row],[Team Nr]],TBL_Team[],2,FALSE)</f>
        <v>Essense 1</v>
      </c>
      <c r="E33" s="102">
        <f xml:space="preserve"> SUM(TBL_Rank[[#This Row],[Speeldag 1]:[Speeldag 8]])</f>
        <v>75.12</v>
      </c>
      <c r="F33" s="68">
        <f xml:space="preserve"> IFERROR(VLOOKUP(TBL_Rank[[#This Row],[Team Nr]],TBL_S1[[Nr 1]:[Nr 2]],5,FALSE), INDEX(TBL_S1[Nr 1], MATCH(TBL_Rank[[#This Row],[Team Nr]],TBL_S1[Nr 2],0)))</f>
        <v>32</v>
      </c>
      <c r="G33" s="67">
        <f xml:space="preserve"> IFERROR(VLOOKUP(TBL_Rank[[#This Row],[Team Nr]],TBL_S2[[Nr 1]:[Nr 2]],5,FALSE), INDEX(TBL_S2[Nr 1], MATCH(TBL_Rank[[#This Row],[Team Nr]],TBL_S2[Nr 2],0)))</f>
        <v>38</v>
      </c>
      <c r="H33" s="68">
        <f xml:space="preserve"> IFERROR(VLOOKUP(TBL_Rank[[#This Row],[Team Nr]],TBL_S3[[Nr 1]:[Nr 2]],5,FALSE), INDEX(TBL_S3[Nr 1], MATCH(TBL_Rank[[#This Row],[Team Nr]],TBL_S3[Nr 2],0)))</f>
        <v>18</v>
      </c>
      <c r="I33" s="67">
        <f xml:space="preserve"> IFERROR(VLOOKUP(TBL_Rank[[#This Row],[Team Nr]],TBL_S4[[Nr 1]:[Nr 2]],5,FALSE), INDEX(TBL_S4[Nr 1], MATCH(TBL_Rank[[#This Row],[Team Nr]],TBL_S4[Nr 2],0)))</f>
        <v>12</v>
      </c>
      <c r="J33" s="67">
        <f xml:space="preserve"> IFERROR(VLOOKUP(TBL_Rank[[#This Row],[Team Nr]],TBL_S5[[Nr 1]:[Nr 2]],5,FALSE), INDEX(TBL_S5[Nr 1], MATCH(TBL_Rank[[#This Row],[Team Nr]],TBL_S5[Nr 2],0)))</f>
        <v>45</v>
      </c>
      <c r="K33" s="66">
        <f xml:space="preserve"> IFERROR(VLOOKUP(TBL_Rank[[#This Row],[Team Nr]],TBL_S6[[Nr 1]:[Nr 2]],5,FALSE), INDEX(TBL_S6[Nr 1], MATCH(TBL_Rank[[#This Row],[Team Nr]],TBL_S6[Nr 2],0)))</f>
        <v>34</v>
      </c>
      <c r="L33" s="67">
        <f xml:space="preserve"> IFERROR(VLOOKUP(TBL_Rank[[#This Row],[Team Nr]],TBL_S7[[Nr 1]:[Nr 2]],5,FALSE), INDEX(TBL_S7[Nr 1], MATCH(TBL_Rank[[#This Row],[Team Nr]],TBL_S7[Nr 2],0)))</f>
        <v>24</v>
      </c>
      <c r="M33" s="68">
        <f xml:space="preserve"> IFERROR(VLOOKUP(TBL_Rank[[#This Row],[Team Nr]],TBL_S8[[Nr 1]:[Nr 2]],5,FALSE), INDEX(TBL_S8[Nr 1], MATCH(TBL_Rank[[#This Row],[Team Nr]],TBL_S8[Nr 2],0)))</f>
        <v>23</v>
      </c>
      <c r="N33" s="97">
        <f xml:space="preserve"> IFERROR(VLOOKUP(TBL_Rank[[#This Row],[Team Naam]],TBL_S1[["Thuis" ploeg (1)]:[VP 2]],8,FALSE), VLOOKUP(TBL_Rank[[#This Row],[Team Naam]],TBL_S1[["Uit" ploeg (2)]:[VP 2]],7,FALSE))</f>
        <v>5.6099999999999994</v>
      </c>
      <c r="O33" s="57">
        <f xml:space="preserve"> IFERROR(VLOOKUP(TBL_Rank[[#This Row],[Team Naam]],TBL_S2[["Thuis" ploeg (1)]:[VP 2]],8,FALSE), VLOOKUP(TBL_Rank[[#This Row],[Team Naam]],TBL_S2[["Uit" ploeg (2)]:[VP 2]],7,FALSE))</f>
        <v>8.66</v>
      </c>
      <c r="P33" s="57">
        <f xml:space="preserve"> IFERROR(VLOOKUP(TBL_Rank[[#This Row],[Team Naam]],TBL_S3[["Thuis" ploeg (1)]:[VP 2]],8,FALSE), VLOOKUP(TBL_Rank[[#This Row],[Team Naam]],TBL_S3[["Uit" ploeg (2)]:[VP 2]],7,FALSE))</f>
        <v>11.59</v>
      </c>
      <c r="Q33" s="57">
        <f xml:space="preserve"> IFERROR(VLOOKUP(TBL_Rank[[#This Row],[Team Naam]],TBL_S4[["Thuis" ploeg (1)]:[VP 2]],8,FALSE), VLOOKUP(TBL_Rank[[#This Row],[Team Naam]],TBL_S4[["Uit" ploeg (2)]:[VP 2]],7,FALSE))</f>
        <v>14.01</v>
      </c>
      <c r="R33" s="57">
        <f xml:space="preserve"> IFERROR(VLOOKUP(TBL_Rank[[#This Row],[Team Naam]],TBL_S5[["Thuis" ploeg (1)]:[VP 2]],8,FALSE), VLOOKUP(TBL_Rank[[#This Row],[Team Naam]],TBL_S5[["Uit" ploeg (2)]:[VP 2]],7,FALSE))</f>
        <v>5.8000000000000007</v>
      </c>
      <c r="S33" s="57">
        <f xml:space="preserve"> IFERROR(VLOOKUP(TBL_Rank[[#This Row],[Team Naam]],TBL_S6[["Thuis" ploeg (1)]:[VP 2]],8,FALSE), VLOOKUP(TBL_Rank[[#This Row],[Team Naam]],TBL_S6[["Uit" ploeg (2)]:[VP 2]],7,FALSE))</f>
        <v>12.76</v>
      </c>
      <c r="T33" s="57">
        <f xml:space="preserve"> IFERROR(VLOOKUP(TBL_Rank[[#This Row],[Team Naam]],TBL_S7[["Thuis" ploeg (1)]:[VP 2]],8,FALSE), VLOOKUP(TBL_Rank[[#This Row],[Team Naam]],TBL_S7[["Uit" ploeg (2)]:[VP 2]],7,FALSE))</f>
        <v>7.24</v>
      </c>
      <c r="U33" s="75">
        <f xml:space="preserve"> IFERROR(VLOOKUP(TBL_Rank[[#This Row],[Team Naam]],TBL_S8[["Thuis" ploeg (1)]:[VP 2]],8,FALSE), VLOOKUP(TBL_Rank[[#This Row],[Team Naam]],TBL_S8[["Uit" ploeg (2)]:[VP 2]],7,FALSE))</f>
        <v>9.4499999999999993</v>
      </c>
    </row>
    <row r="34" spans="2:21" x14ac:dyDescent="0.3">
      <c r="B34" s="72">
        <v>31</v>
      </c>
      <c r="C34" s="91">
        <v>34</v>
      </c>
      <c r="D34" s="92" t="str">
        <f xml:space="preserve"> VLOOKUP(TBL_Rank[[#This Row],[Team Nr]],TBL_Team[],2,FALSE)</f>
        <v>EBUROON 2</v>
      </c>
      <c r="E34" s="101">
        <f xml:space="preserve"> SUM(TBL_Rank[[#This Row],[Speeldag 1]:[Speeldag 8]])</f>
        <v>74.690000000000012</v>
      </c>
      <c r="F34" s="68">
        <f xml:space="preserve"> IFERROR(VLOOKUP(TBL_Rank[[#This Row],[Team Nr]],TBL_S1[[Nr 1]:[Nr 2]],5,FALSE), INDEX(TBL_S1[Nr 1], MATCH(TBL_Rank[[#This Row],[Team Nr]],TBL_S1[Nr 2],0)))</f>
        <v>1</v>
      </c>
      <c r="G34" s="67">
        <f xml:space="preserve"> IFERROR(VLOOKUP(TBL_Rank[[#This Row],[Team Nr]],TBL_S2[[Nr 1]:[Nr 2]],5,FALSE), INDEX(TBL_S2[Nr 1], MATCH(TBL_Rank[[#This Row],[Team Nr]],TBL_S2[Nr 2],0)))</f>
        <v>5</v>
      </c>
      <c r="H34" s="68">
        <f xml:space="preserve"> IFERROR(VLOOKUP(TBL_Rank[[#This Row],[Team Nr]],TBL_S3[[Nr 1]:[Nr 2]],5,FALSE), INDEX(TBL_S3[Nr 1], MATCH(TBL_Rank[[#This Row],[Team Nr]],TBL_S3[Nr 2],0)))</f>
        <v>10</v>
      </c>
      <c r="I34" s="67">
        <f xml:space="preserve"> IFERROR(VLOOKUP(TBL_Rank[[#This Row],[Team Nr]],TBL_S4[[Nr 1]:[Nr 2]],5,FALSE), INDEX(TBL_S4[Nr 1], MATCH(TBL_Rank[[#This Row],[Team Nr]],TBL_S4[Nr 2],0)))</f>
        <v>13</v>
      </c>
      <c r="J34" s="67">
        <f xml:space="preserve"> IFERROR(VLOOKUP(TBL_Rank[[#This Row],[Team Nr]],TBL_S5[[Nr 1]:[Nr 2]],5,FALSE), INDEX(TBL_S5[Nr 1], MATCH(TBL_Rank[[#This Row],[Team Nr]],TBL_S5[Nr 2],0)))</f>
        <v>17</v>
      </c>
      <c r="K34" s="66">
        <f xml:space="preserve"> IFERROR(VLOOKUP(TBL_Rank[[#This Row],[Team Nr]],TBL_S6[[Nr 1]:[Nr 2]],5,FALSE), INDEX(TBL_S6[Nr 1], MATCH(TBL_Rank[[#This Row],[Team Nr]],TBL_S6[Nr 2],0)))</f>
        <v>27</v>
      </c>
      <c r="L34" s="67">
        <f xml:space="preserve"> IFERROR(VLOOKUP(TBL_Rank[[#This Row],[Team Nr]],TBL_S7[[Nr 1]:[Nr 2]],5,FALSE), INDEX(TBL_S7[Nr 1], MATCH(TBL_Rank[[#This Row],[Team Nr]],TBL_S7[Nr 2],0)))</f>
        <v>36</v>
      </c>
      <c r="M34" s="68">
        <f xml:space="preserve"> IFERROR(VLOOKUP(TBL_Rank[[#This Row],[Team Nr]],TBL_S8[[Nr 1]:[Nr 2]],5,FALSE), INDEX(TBL_S8[Nr 1], MATCH(TBL_Rank[[#This Row],[Team Nr]],TBL_S8[Nr 2],0)))</f>
        <v>9</v>
      </c>
      <c r="N34" s="96">
        <f xml:space="preserve"> IFERROR(VLOOKUP(TBL_Rank[[#This Row],[Team Naam]],TBL_S1[["Thuis" ploeg (1)]:[VP 2]],8,FALSE), VLOOKUP(TBL_Rank[[#This Row],[Team Naam]],TBL_S1[["Uit" ploeg (2)]:[VP 2]],7,FALSE))</f>
        <v>13.41</v>
      </c>
      <c r="O34" s="57">
        <f xml:space="preserve"> IFERROR(VLOOKUP(TBL_Rank[[#This Row],[Team Naam]],TBL_S2[["Thuis" ploeg (1)]:[VP 2]],8,FALSE), VLOOKUP(TBL_Rank[[#This Row],[Team Naam]],TBL_S2[["Uit" ploeg (2)]:[VP 2]],7,FALSE))</f>
        <v>11.08</v>
      </c>
      <c r="P34" s="57">
        <f xml:space="preserve"> IFERROR(VLOOKUP(TBL_Rank[[#This Row],[Team Naam]],TBL_S3[["Thuis" ploeg (1)]:[VP 2]],8,FALSE), VLOOKUP(TBL_Rank[[#This Row],[Team Naam]],TBL_S3[["Uit" ploeg (2)]:[VP 2]],7,FALSE))</f>
        <v>6.8000000000000007</v>
      </c>
      <c r="Q34" s="57">
        <f xml:space="preserve"> IFERROR(VLOOKUP(TBL_Rank[[#This Row],[Team Naam]],TBL_S4[["Thuis" ploeg (1)]:[VP 2]],8,FALSE), VLOOKUP(TBL_Rank[[#This Row],[Team Naam]],TBL_S4[["Uit" ploeg (2)]:[VP 2]],7,FALSE))</f>
        <v>5.0600000000000005</v>
      </c>
      <c r="R34" s="57">
        <f xml:space="preserve"> IFERROR(VLOOKUP(TBL_Rank[[#This Row],[Team Naam]],TBL_S5[["Thuis" ploeg (1)]:[VP 2]],8,FALSE), VLOOKUP(TBL_Rank[[#This Row],[Team Naam]],TBL_S5[["Uit" ploeg (2)]:[VP 2]],7,FALSE))</f>
        <v>7.24</v>
      </c>
      <c r="S34" s="57">
        <f xml:space="preserve"> IFERROR(VLOOKUP(TBL_Rank[[#This Row],[Team Naam]],TBL_S6[["Thuis" ploeg (1)]:[VP 2]],8,FALSE), VLOOKUP(TBL_Rank[[#This Row],[Team Naam]],TBL_S6[["Uit" ploeg (2)]:[VP 2]],7,FALSE))</f>
        <v>7.24</v>
      </c>
      <c r="T34" s="57">
        <f xml:space="preserve"> IFERROR(VLOOKUP(TBL_Rank[[#This Row],[Team Naam]],TBL_S7[["Thuis" ploeg (1)]:[VP 2]],8,FALSE), VLOOKUP(TBL_Rank[[#This Row],[Team Naam]],TBL_S7[["Uit" ploeg (2)]:[VP 2]],7,FALSE))</f>
        <v>8.41</v>
      </c>
      <c r="U34" s="75">
        <f xml:space="preserve"> IFERROR(VLOOKUP(TBL_Rank[[#This Row],[Team Naam]],TBL_S8[["Thuis" ploeg (1)]:[VP 2]],8,FALSE), VLOOKUP(TBL_Rank[[#This Row],[Team Naam]],TBL_S8[["Uit" ploeg (2)]:[VP 2]],7,FALSE))</f>
        <v>15.45</v>
      </c>
    </row>
    <row r="35" spans="2:21" x14ac:dyDescent="0.3">
      <c r="B35" s="72">
        <v>32</v>
      </c>
      <c r="C35" s="91">
        <v>12</v>
      </c>
      <c r="D35" s="92" t="str">
        <f xml:space="preserve"> VLOOKUP(TBL_Rank[[#This Row],[Team Nr]],TBL_Team[],2,FALSE)</f>
        <v>jeweetwelwie</v>
      </c>
      <c r="E35" s="101">
        <f xml:space="preserve"> SUM(TBL_Rank[[#This Row],[Speeldag 1]:[Speeldag 8]])</f>
        <v>73.17</v>
      </c>
      <c r="F35" s="68">
        <f xml:space="preserve"> IFERROR(VLOOKUP(TBL_Rank[[#This Row],[Team Nr]],TBL_S1[[Nr 1]:[Nr 2]],5,FALSE), INDEX(TBL_S1[Nr 1], MATCH(TBL_Rank[[#This Row],[Team Nr]],TBL_S1[Nr 2],0)))</f>
        <v>19</v>
      </c>
      <c r="G35" s="67">
        <f xml:space="preserve"> IFERROR(VLOOKUP(TBL_Rank[[#This Row],[Team Nr]],TBL_S2[[Nr 1]:[Nr 2]],5,FALSE), INDEX(TBL_S2[Nr 1], MATCH(TBL_Rank[[#This Row],[Team Nr]],TBL_S2[Nr 2],0)))</f>
        <v>33</v>
      </c>
      <c r="H35" s="68">
        <f xml:space="preserve"> IFERROR(VLOOKUP(TBL_Rank[[#This Row],[Team Nr]],TBL_S3[[Nr 1]:[Nr 2]],5,FALSE), INDEX(TBL_S3[Nr 1], MATCH(TBL_Rank[[#This Row],[Team Nr]],TBL_S3[Nr 2],0)))</f>
        <v>41</v>
      </c>
      <c r="I35" s="67">
        <f xml:space="preserve"> IFERROR(VLOOKUP(TBL_Rank[[#This Row],[Team Nr]],TBL_S4[[Nr 1]:[Nr 2]],5,FALSE), INDEX(TBL_S4[Nr 1], MATCH(TBL_Rank[[#This Row],[Team Nr]],TBL_S4[Nr 2],0)))</f>
        <v>27</v>
      </c>
      <c r="J35" s="67">
        <f xml:space="preserve"> IFERROR(VLOOKUP(TBL_Rank[[#This Row],[Team Nr]],TBL_S5[[Nr 1]:[Nr 2]],5,FALSE), INDEX(TBL_S5[Nr 1], MATCH(TBL_Rank[[#This Row],[Team Nr]],TBL_S5[Nr 2],0)))</f>
        <v>39</v>
      </c>
      <c r="K35" s="66">
        <f xml:space="preserve"> IFERROR(VLOOKUP(TBL_Rank[[#This Row],[Team Nr]],TBL_S6[[Nr 1]:[Nr 2]],5,FALSE), INDEX(TBL_S6[Nr 1], MATCH(TBL_Rank[[#This Row],[Team Nr]],TBL_S6[Nr 2],0)))</f>
        <v>8</v>
      </c>
      <c r="L35" s="67">
        <f xml:space="preserve"> IFERROR(VLOOKUP(TBL_Rank[[#This Row],[Team Nr]],TBL_S7[[Nr 1]:[Nr 2]],5,FALSE), INDEX(TBL_S7[Nr 1], MATCH(TBL_Rank[[#This Row],[Team Nr]],TBL_S7[Nr 2],0)))</f>
        <v>9</v>
      </c>
      <c r="M35" s="68">
        <f xml:space="preserve"> IFERROR(VLOOKUP(TBL_Rank[[#This Row],[Team Nr]],TBL_S8[[Nr 1]:[Nr 2]],5,FALSE), INDEX(TBL_S8[Nr 1], MATCH(TBL_Rank[[#This Row],[Team Nr]],TBL_S8[Nr 2],0)))</f>
        <v>43</v>
      </c>
      <c r="N35" s="96">
        <f xml:space="preserve"> IFERROR(VLOOKUP(TBL_Rank[[#This Row],[Team Naam]],TBL_S1[["Thuis" ploeg (1)]:[VP 2]],8,FALSE), VLOOKUP(TBL_Rank[[#This Row],[Team Naam]],TBL_S1[["Uit" ploeg (2)]:[VP 2]],7,FALSE))</f>
        <v>6.1899999999999995</v>
      </c>
      <c r="O35" s="23">
        <f xml:space="preserve"> IFERROR(VLOOKUP(TBL_Rank[[#This Row],[Team Naam]],TBL_S2[["Thuis" ploeg (1)]:[VP 2]],8,FALSE), VLOOKUP(TBL_Rank[[#This Row],[Team Naam]],TBL_S2[["Uit" ploeg (2)]:[VP 2]],7,FALSE))</f>
        <v>0.42999999999999972</v>
      </c>
      <c r="P35" s="23">
        <f xml:space="preserve"> IFERROR(VLOOKUP(TBL_Rank[[#This Row],[Team Naam]],TBL_S3[["Thuis" ploeg (1)]:[VP 2]],8,FALSE), VLOOKUP(TBL_Rank[[#This Row],[Team Naam]],TBL_S3[["Uit" ploeg (2)]:[VP 2]],7,FALSE))</f>
        <v>18.23</v>
      </c>
      <c r="Q35" s="23">
        <f xml:space="preserve"> IFERROR(VLOOKUP(TBL_Rank[[#This Row],[Team Naam]],TBL_S4[["Thuis" ploeg (1)]:[VP 2]],8,FALSE), VLOOKUP(TBL_Rank[[#This Row],[Team Naam]],TBL_S4[["Uit" ploeg (2)]:[VP 2]],7,FALSE))</f>
        <v>5.99</v>
      </c>
      <c r="R35" s="23">
        <f xml:space="preserve"> IFERROR(VLOOKUP(TBL_Rank[[#This Row],[Team Naam]],TBL_S5[["Thuis" ploeg (1)]:[VP 2]],8,FALSE), VLOOKUP(TBL_Rank[[#This Row],[Team Naam]],TBL_S5[["Uit" ploeg (2)]:[VP 2]],7,FALSE))</f>
        <v>0.91000000000000014</v>
      </c>
      <c r="S35" s="23">
        <f xml:space="preserve"> IFERROR(VLOOKUP(TBL_Rank[[#This Row],[Team Naam]],TBL_S6[["Thuis" ploeg (1)]:[VP 2]],8,FALSE), VLOOKUP(TBL_Rank[[#This Row],[Team Naam]],TBL_S6[["Uit" ploeg (2)]:[VP 2]],7,FALSE))</f>
        <v>17.559999999999999</v>
      </c>
      <c r="T35" s="23">
        <f xml:space="preserve"> IFERROR(VLOOKUP(TBL_Rank[[#This Row],[Team Naam]],TBL_S7[["Thuis" ploeg (1)]:[VP 2]],8,FALSE), VLOOKUP(TBL_Rank[[#This Row],[Team Naam]],TBL_S7[["Uit" ploeg (2)]:[VP 2]],7,FALSE))</f>
        <v>8.41</v>
      </c>
      <c r="U35" s="74">
        <f xml:space="preserve"> IFERROR(VLOOKUP(TBL_Rank[[#This Row],[Team Naam]],TBL_S8[["Thuis" ploeg (1)]:[VP 2]],8,FALSE), VLOOKUP(TBL_Rank[[#This Row],[Team Naam]],TBL_S8[["Uit" ploeg (2)]:[VP 2]],7,FALSE))</f>
        <v>15.45</v>
      </c>
    </row>
    <row r="36" spans="2:21" x14ac:dyDescent="0.3">
      <c r="B36" s="72">
        <v>33</v>
      </c>
      <c r="C36" s="91">
        <v>31</v>
      </c>
      <c r="D36" s="92" t="str">
        <f xml:space="preserve"> VLOOKUP(TBL_Rank[[#This Row],[Team Nr]],TBL_Team[],2,FALSE)</f>
        <v>DOWNAGAIN ?</v>
      </c>
      <c r="E36" s="101">
        <f xml:space="preserve"> SUM(TBL_Rank[[#This Row],[Speeldag 1]:[Speeldag 8]])</f>
        <v>71.669999999999987</v>
      </c>
      <c r="F36" s="68">
        <f xml:space="preserve"> IFERROR(VLOOKUP(TBL_Rank[[#This Row],[Team Nr]],TBL_S1[[Nr 1]:[Nr 2]],5,FALSE), INDEX(TBL_S1[Nr 1], MATCH(TBL_Rank[[#This Row],[Team Nr]],TBL_S1[Nr 2],0)))</f>
        <v>23</v>
      </c>
      <c r="G36" s="67">
        <f xml:space="preserve"> IFERROR(VLOOKUP(TBL_Rank[[#This Row],[Team Nr]],TBL_S2[[Nr 1]:[Nr 2]],5,FALSE), INDEX(TBL_S2[Nr 1], MATCH(TBL_Rank[[#This Row],[Team Nr]],TBL_S2[Nr 2],0)))</f>
        <v>37</v>
      </c>
      <c r="H36" s="68">
        <f xml:space="preserve"> IFERROR(VLOOKUP(TBL_Rank[[#This Row],[Team Nr]],TBL_S3[[Nr 1]:[Nr 2]],5,FALSE), INDEX(TBL_S3[Nr 1], MATCH(TBL_Rank[[#This Row],[Team Nr]],TBL_S3[Nr 2],0)))</f>
        <v>38</v>
      </c>
      <c r="I36" s="67">
        <f xml:space="preserve"> IFERROR(VLOOKUP(TBL_Rank[[#This Row],[Team Nr]],TBL_S4[[Nr 1]:[Nr 2]],5,FALSE), INDEX(TBL_S4[Nr 1], MATCH(TBL_Rank[[#This Row],[Team Nr]],TBL_S4[Nr 2],0)))</f>
        <v>6</v>
      </c>
      <c r="J36" s="67">
        <f xml:space="preserve"> IFERROR(VLOOKUP(TBL_Rank[[#This Row],[Team Nr]],TBL_S5[[Nr 1]:[Nr 2]],5,FALSE), INDEX(TBL_S5[Nr 1], MATCH(TBL_Rank[[#This Row],[Team Nr]],TBL_S5[Nr 2],0)))</f>
        <v>1</v>
      </c>
      <c r="K36" s="66">
        <f xml:space="preserve"> IFERROR(VLOOKUP(TBL_Rank[[#This Row],[Team Nr]],TBL_S6[[Nr 1]:[Nr 2]],5,FALSE), INDEX(TBL_S6[Nr 1], MATCH(TBL_Rank[[#This Row],[Team Nr]],TBL_S6[Nr 2],0)))</f>
        <v>39</v>
      </c>
      <c r="L36" s="67">
        <f xml:space="preserve"> IFERROR(VLOOKUP(TBL_Rank[[#This Row],[Team Nr]],TBL_S7[[Nr 1]:[Nr 2]],5,FALSE), INDEX(TBL_S7[Nr 1], MATCH(TBL_Rank[[#This Row],[Team Nr]],TBL_S7[Nr 2],0)))</f>
        <v>28</v>
      </c>
      <c r="M36" s="68">
        <f xml:space="preserve"> IFERROR(VLOOKUP(TBL_Rank[[#This Row],[Team Nr]],TBL_S8[[Nr 1]:[Nr 2]],5,FALSE), INDEX(TBL_S8[Nr 1], MATCH(TBL_Rank[[#This Row],[Team Nr]],TBL_S8[Nr 2],0)))</f>
        <v>35</v>
      </c>
      <c r="N36" s="96">
        <f xml:space="preserve"> IFERROR(VLOOKUP(TBL_Rank[[#This Row],[Team Naam]],TBL_S1[["Thuis" ploeg (1)]:[VP 2]],8,FALSE), VLOOKUP(TBL_Rank[[#This Row],[Team Naam]],TBL_S1[["Uit" ploeg (2)]:[VP 2]],7,FALSE))</f>
        <v>11.83</v>
      </c>
      <c r="O36" s="57">
        <f xml:space="preserve"> IFERROR(VLOOKUP(TBL_Rank[[#This Row],[Team Naam]],TBL_S2[["Thuis" ploeg (1)]:[VP 2]],8,FALSE), VLOOKUP(TBL_Rank[[#This Row],[Team Naam]],TBL_S2[["Uit" ploeg (2)]:[VP 2]],7,FALSE))</f>
        <v>4.07</v>
      </c>
      <c r="P36" s="57">
        <f xml:space="preserve"> IFERROR(VLOOKUP(TBL_Rank[[#This Row],[Team Naam]],TBL_S3[["Thuis" ploeg (1)]:[VP 2]],8,FALSE), VLOOKUP(TBL_Rank[[#This Row],[Team Naam]],TBL_S3[["Uit" ploeg (2)]:[VP 2]],7,FALSE))</f>
        <v>19.329999999999998</v>
      </c>
      <c r="Q36" s="57">
        <f xml:space="preserve"> IFERROR(VLOOKUP(TBL_Rank[[#This Row],[Team Naam]],TBL_S4[["Thuis" ploeg (1)]:[VP 2]],8,FALSE), VLOOKUP(TBL_Rank[[#This Row],[Team Naam]],TBL_S4[["Uit" ploeg (2)]:[VP 2]],7,FALSE))</f>
        <v>1.7699999999999996</v>
      </c>
      <c r="R36" s="57">
        <f xml:space="preserve"> IFERROR(VLOOKUP(TBL_Rank[[#This Row],[Team Naam]],TBL_S5[["Thuis" ploeg (1)]:[VP 2]],8,FALSE), VLOOKUP(TBL_Rank[[#This Row],[Team Naam]],TBL_S5[["Uit" ploeg (2)]:[VP 2]],7,FALSE))</f>
        <v>12.76</v>
      </c>
      <c r="S36" s="57">
        <f xml:space="preserve"> IFERROR(VLOOKUP(TBL_Rank[[#This Row],[Team Naam]],TBL_S6[["Thuis" ploeg (1)]:[VP 2]],8,FALSE), VLOOKUP(TBL_Rank[[#This Row],[Team Naam]],TBL_S6[["Uit" ploeg (2)]:[VP 2]],7,FALSE))</f>
        <v>13.81</v>
      </c>
      <c r="T36" s="57">
        <f xml:space="preserve"> IFERROR(VLOOKUP(TBL_Rank[[#This Row],[Team Naam]],TBL_S7[["Thuis" ploeg (1)]:[VP 2]],8,FALSE), VLOOKUP(TBL_Rank[[#This Row],[Team Naam]],TBL_S7[["Uit" ploeg (2)]:[VP 2]],7,FALSE))</f>
        <v>5.42</v>
      </c>
      <c r="U36" s="75">
        <f xml:space="preserve"> IFERROR(VLOOKUP(TBL_Rank[[#This Row],[Team Naam]],TBL_S8[["Thuis" ploeg (1)]:[VP 2]],8,FALSE), VLOOKUP(TBL_Rank[[#This Row],[Team Naam]],TBL_S8[["Uit" ploeg (2)]:[VP 2]],7,FALSE))</f>
        <v>2.6799999999999997</v>
      </c>
    </row>
    <row r="37" spans="2:21" x14ac:dyDescent="0.3">
      <c r="B37" s="72">
        <v>34</v>
      </c>
      <c r="C37" s="91">
        <v>33</v>
      </c>
      <c r="D37" s="92" t="str">
        <f xml:space="preserve"> VLOOKUP(TBL_Rank[[#This Row],[Team Nr]],TBL_Team[],2,FALSE)</f>
        <v>Nigranka</v>
      </c>
      <c r="E37" s="101">
        <f xml:space="preserve"> SUM(TBL_Rank[[#This Row],[Speeldag 1]:[Speeldag 8]])</f>
        <v>71.149999999999991</v>
      </c>
      <c r="F37" s="68">
        <f xml:space="preserve"> IFERROR(VLOOKUP(TBL_Rank[[#This Row],[Team Nr]],TBL_S1[[Nr 1]:[Nr 2]],5,FALSE), INDEX(TBL_S1[Nr 1], MATCH(TBL_Rank[[#This Row],[Team Nr]],TBL_S1[Nr 2],0)))</f>
        <v>26</v>
      </c>
      <c r="G37" s="67">
        <f xml:space="preserve"> IFERROR(VLOOKUP(TBL_Rank[[#This Row],[Team Nr]],TBL_S2[[Nr 1]:[Nr 2]],5,FALSE), INDEX(TBL_S2[Nr 1], MATCH(TBL_Rank[[#This Row],[Team Nr]],TBL_S2[Nr 2],0)))</f>
        <v>12</v>
      </c>
      <c r="H37" s="68">
        <f xml:space="preserve"> IFERROR(VLOOKUP(TBL_Rank[[#This Row],[Team Nr]],TBL_S3[[Nr 1]:[Nr 2]],5,FALSE), INDEX(TBL_S3[Nr 1], MATCH(TBL_Rank[[#This Row],[Team Nr]],TBL_S3[Nr 2],0)))</f>
        <v>22</v>
      </c>
      <c r="I37" s="67">
        <f xml:space="preserve"> IFERROR(VLOOKUP(TBL_Rank[[#This Row],[Team Nr]],TBL_S4[[Nr 1]:[Nr 2]],5,FALSE), INDEX(TBL_S4[Nr 1], MATCH(TBL_Rank[[#This Row],[Team Nr]],TBL_S4[Nr 2],0)))</f>
        <v>40</v>
      </c>
      <c r="J37" s="67">
        <f xml:space="preserve"> IFERROR(VLOOKUP(TBL_Rank[[#This Row],[Team Nr]],TBL_S5[[Nr 1]:[Nr 2]],5,FALSE), INDEX(TBL_S5[Nr 1], MATCH(TBL_Rank[[#This Row],[Team Nr]],TBL_S5[Nr 2],0)))</f>
        <v>29</v>
      </c>
      <c r="K37" s="66">
        <f xml:space="preserve"> IFERROR(VLOOKUP(TBL_Rank[[#This Row],[Team Nr]],TBL_S6[[Nr 1]:[Nr 2]],5,FALSE), INDEX(TBL_S6[Nr 1], MATCH(TBL_Rank[[#This Row],[Team Nr]],TBL_S6[Nr 2],0)))</f>
        <v>17</v>
      </c>
      <c r="L37" s="67">
        <f xml:space="preserve"> IFERROR(VLOOKUP(TBL_Rank[[#This Row],[Team Nr]],TBL_S7[[Nr 1]:[Nr 2]],5,FALSE), INDEX(TBL_S7[Nr 1], MATCH(TBL_Rank[[#This Row],[Team Nr]],TBL_S7[Nr 2],0)))</f>
        <v>39</v>
      </c>
      <c r="M37" s="68">
        <f xml:space="preserve"> IFERROR(VLOOKUP(TBL_Rank[[#This Row],[Team Nr]],TBL_S8[[Nr 1]:[Nr 2]],5,FALSE), INDEX(TBL_S8[Nr 1], MATCH(TBL_Rank[[#This Row],[Team Nr]],TBL_S8[Nr 2],0)))</f>
        <v>4</v>
      </c>
      <c r="N37" s="96">
        <f xml:space="preserve"> IFERROR(VLOOKUP(TBL_Rank[[#This Row],[Team Naam]],TBL_S1[["Thuis" ploeg (1)]:[VP 2]],8,FALSE), VLOOKUP(TBL_Rank[[#This Row],[Team Naam]],TBL_S1[["Uit" ploeg (2)]:[VP 2]],7,FALSE))</f>
        <v>6.1899999999999995</v>
      </c>
      <c r="O37" s="57">
        <f xml:space="preserve"> IFERROR(VLOOKUP(TBL_Rank[[#This Row],[Team Naam]],TBL_S2[["Thuis" ploeg (1)]:[VP 2]],8,FALSE), VLOOKUP(TBL_Rank[[#This Row],[Team Naam]],TBL_S2[["Uit" ploeg (2)]:[VP 2]],7,FALSE))</f>
        <v>19.57</v>
      </c>
      <c r="P37" s="57">
        <f xml:space="preserve"> IFERROR(VLOOKUP(TBL_Rank[[#This Row],[Team Naam]],TBL_S3[["Thuis" ploeg (1)]:[VP 2]],8,FALSE), VLOOKUP(TBL_Rank[[#This Row],[Team Naam]],TBL_S3[["Uit" ploeg (2)]:[VP 2]],7,FALSE))</f>
        <v>2.4400000000000013</v>
      </c>
      <c r="Q37" s="57">
        <f xml:space="preserve"> IFERROR(VLOOKUP(TBL_Rank[[#This Row],[Team Naam]],TBL_S4[["Thuis" ploeg (1)]:[VP 2]],8,FALSE), VLOOKUP(TBL_Rank[[#This Row],[Team Naam]],TBL_S4[["Uit" ploeg (2)]:[VP 2]],7,FALSE))</f>
        <v>2.9400000000000013</v>
      </c>
      <c r="R37" s="57">
        <f xml:space="preserve"> IFERROR(VLOOKUP(TBL_Rank[[#This Row],[Team Naam]],TBL_S5[["Thuis" ploeg (1)]:[VP 2]],8,FALSE), VLOOKUP(TBL_Rank[[#This Row],[Team Naam]],TBL_S5[["Uit" ploeg (2)]:[VP 2]],7,FALSE))</f>
        <v>15.11</v>
      </c>
      <c r="S37" s="57">
        <f xml:space="preserve"> IFERROR(VLOOKUP(TBL_Rank[[#This Row],[Team Naam]],TBL_S6[["Thuis" ploeg (1)]:[VP 2]],8,FALSE), VLOOKUP(TBL_Rank[[#This Row],[Team Naam]],TBL_S6[["Uit" ploeg (2)]:[VP 2]],7,FALSE))</f>
        <v>6.8000000000000007</v>
      </c>
      <c r="T37" s="57">
        <f xml:space="preserve"> IFERROR(VLOOKUP(TBL_Rank[[#This Row],[Team Naam]],TBL_S7[["Thuis" ploeg (1)]:[VP 2]],8,FALSE), VLOOKUP(TBL_Rank[[#This Row],[Team Naam]],TBL_S7[["Uit" ploeg (2)]:[VP 2]],7,FALSE))</f>
        <v>11.08</v>
      </c>
      <c r="U37" s="75">
        <f xml:space="preserve"> IFERROR(VLOOKUP(TBL_Rank[[#This Row],[Team Naam]],TBL_S8[["Thuis" ploeg (1)]:[VP 2]],8,FALSE), VLOOKUP(TBL_Rank[[#This Row],[Team Naam]],TBL_S8[["Uit" ploeg (2)]:[VP 2]],7,FALSE))</f>
        <v>7.02</v>
      </c>
    </row>
    <row r="38" spans="2:21" x14ac:dyDescent="0.3">
      <c r="B38" s="72">
        <v>35</v>
      </c>
      <c r="C38" s="91">
        <v>18</v>
      </c>
      <c r="D38" s="92" t="str">
        <f xml:space="preserve"> VLOOKUP(TBL_Rank[[#This Row],[Team Nr]],TBL_Team[],2,FALSE)</f>
        <v>MiMoDanan</v>
      </c>
      <c r="E38" s="102">
        <f xml:space="preserve"> SUM(TBL_Rank[[#This Row],[Speeldag 1]:[Speeldag 8]])</f>
        <v>67.320000000000007</v>
      </c>
      <c r="F38" s="68">
        <f xml:space="preserve"> IFERROR(VLOOKUP(TBL_Rank[[#This Row],[Team Nr]],TBL_S1[[Nr 1]:[Nr 2]],5,FALSE), INDEX(TBL_S1[Nr 1], MATCH(TBL_Rank[[#This Row],[Team Nr]],TBL_S1[Nr 2],0)))</f>
        <v>8</v>
      </c>
      <c r="G38" s="67">
        <f xml:space="preserve"> IFERROR(VLOOKUP(TBL_Rank[[#This Row],[Team Nr]],TBL_S2[[Nr 1]:[Nr 2]],5,FALSE), INDEX(TBL_S2[Nr 1], MATCH(TBL_Rank[[#This Row],[Team Nr]],TBL_S2[Nr 2],0)))</f>
        <v>45</v>
      </c>
      <c r="H38" s="68">
        <f xml:space="preserve"> IFERROR(VLOOKUP(TBL_Rank[[#This Row],[Team Nr]],TBL_S3[[Nr 1]:[Nr 2]],5,FALSE), INDEX(TBL_S3[Nr 1], MATCH(TBL_Rank[[#This Row],[Team Nr]],TBL_S3[Nr 2],0)))</f>
        <v>27</v>
      </c>
      <c r="I38" s="67">
        <f xml:space="preserve"> IFERROR(VLOOKUP(TBL_Rank[[#This Row],[Team Nr]],TBL_S4[[Nr 1]:[Nr 2]],5,FALSE), INDEX(TBL_S4[Nr 1], MATCH(TBL_Rank[[#This Row],[Team Nr]],TBL_S4[Nr 2],0)))</f>
        <v>21</v>
      </c>
      <c r="J38" s="67">
        <f xml:space="preserve"> IFERROR(VLOOKUP(TBL_Rank[[#This Row],[Team Nr]],TBL_S5[[Nr 1]:[Nr 2]],5,FALSE), INDEX(TBL_S5[Nr 1], MATCH(TBL_Rank[[#This Row],[Team Nr]],TBL_S5[Nr 2],0)))</f>
        <v>11</v>
      </c>
      <c r="K38" s="66">
        <f xml:space="preserve"> IFERROR(VLOOKUP(TBL_Rank[[#This Row],[Team Nr]],TBL_S6[[Nr 1]:[Nr 2]],5,FALSE), INDEX(TBL_S6[Nr 1], MATCH(TBL_Rank[[#This Row],[Team Nr]],TBL_S6[Nr 2],0)))</f>
        <v>14</v>
      </c>
      <c r="L38" s="67">
        <f xml:space="preserve"> IFERROR(VLOOKUP(TBL_Rank[[#This Row],[Team Nr]],TBL_S7[[Nr 1]:[Nr 2]],5,FALSE), INDEX(TBL_S7[Nr 1], MATCH(TBL_Rank[[#This Row],[Team Nr]],TBL_S7[Nr 2],0)))</f>
        <v>10</v>
      </c>
      <c r="M38" s="68">
        <f xml:space="preserve"> IFERROR(VLOOKUP(TBL_Rank[[#This Row],[Team Nr]],TBL_S8[[Nr 1]:[Nr 2]],5,FALSE), INDEX(TBL_S8[Nr 1], MATCH(TBL_Rank[[#This Row],[Team Nr]],TBL_S8[Nr 2],0)))</f>
        <v>39</v>
      </c>
      <c r="N38" s="97">
        <f xml:space="preserve"> IFERROR(VLOOKUP(TBL_Rank[[#This Row],[Team Naam]],TBL_S1[["Thuis" ploeg (1)]:[VP 2]],8,FALSE), VLOOKUP(TBL_Rank[[#This Row],[Team Naam]],TBL_S1[["Uit" ploeg (2)]:[VP 2]],7,FALSE))</f>
        <v>7.6999999999999993</v>
      </c>
      <c r="O38" s="57">
        <f xml:space="preserve"> IFERROR(VLOOKUP(TBL_Rank[[#This Row],[Team Naam]],TBL_S2[["Thuis" ploeg (1)]:[VP 2]],8,FALSE), VLOOKUP(TBL_Rank[[#This Row],[Team Naam]],TBL_S2[["Uit" ploeg (2)]:[VP 2]],7,FALSE))</f>
        <v>8.17</v>
      </c>
      <c r="P38" s="57">
        <f xml:space="preserve"> IFERROR(VLOOKUP(TBL_Rank[[#This Row],[Team Naam]],TBL_S3[["Thuis" ploeg (1)]:[VP 2]],8,FALSE), VLOOKUP(TBL_Rank[[#This Row],[Team Naam]],TBL_S3[["Uit" ploeg (2)]:[VP 2]],7,FALSE))</f>
        <v>8.41</v>
      </c>
      <c r="Q38" s="57">
        <f xml:space="preserve"> IFERROR(VLOOKUP(TBL_Rank[[#This Row],[Team Naam]],TBL_S4[["Thuis" ploeg (1)]:[VP 2]],8,FALSE), VLOOKUP(TBL_Rank[[#This Row],[Team Naam]],TBL_S4[["Uit" ploeg (2)]:[VP 2]],7,FALSE))</f>
        <v>4.07</v>
      </c>
      <c r="R38" s="57">
        <f xml:space="preserve"> IFERROR(VLOOKUP(TBL_Rank[[#This Row],[Team Naam]],TBL_S5[["Thuis" ploeg (1)]:[VP 2]],8,FALSE), VLOOKUP(TBL_Rank[[#This Row],[Team Naam]],TBL_S5[["Uit" ploeg (2)]:[VP 2]],7,FALSE))</f>
        <v>7.02</v>
      </c>
      <c r="S38" s="57">
        <f xml:space="preserve"> IFERROR(VLOOKUP(TBL_Rank[[#This Row],[Team Naam]],TBL_S6[["Thuis" ploeg (1)]:[VP 2]],8,FALSE), VLOOKUP(TBL_Rank[[#This Row],[Team Naam]],TBL_S6[["Uit" ploeg (2)]:[VP 2]],7,FALSE))</f>
        <v>12.07</v>
      </c>
      <c r="T38" s="57">
        <f xml:space="preserve"> IFERROR(VLOOKUP(TBL_Rank[[#This Row],[Team Naam]],TBL_S7[["Thuis" ploeg (1)]:[VP 2]],8,FALSE), VLOOKUP(TBL_Rank[[#This Row],[Team Naam]],TBL_S7[["Uit" ploeg (2)]:[VP 2]],7,FALSE))</f>
        <v>17.440000000000001</v>
      </c>
      <c r="U38" s="75">
        <f xml:space="preserve"> IFERROR(VLOOKUP(TBL_Rank[[#This Row],[Team Naam]],TBL_S8[["Thuis" ploeg (1)]:[VP 2]],8,FALSE), VLOOKUP(TBL_Rank[[#This Row],[Team Naam]],TBL_S8[["Uit" ploeg (2)]:[VP 2]],7,FALSE))</f>
        <v>2.4400000000000013</v>
      </c>
    </row>
    <row r="39" spans="2:21" x14ac:dyDescent="0.3">
      <c r="B39" s="72">
        <v>36</v>
      </c>
      <c r="C39" s="91">
        <v>44</v>
      </c>
      <c r="D39" s="92" t="str">
        <f xml:space="preserve"> VLOOKUP(TBL_Rank[[#This Row],[Team Nr]],TBL_Team[],2,FALSE)</f>
        <v>Edegem 1</v>
      </c>
      <c r="E39" s="101">
        <f xml:space="preserve"> SUM(TBL_Rank[[#This Row],[Speeldag 1]:[Speeldag 8]])</f>
        <v>66.09</v>
      </c>
      <c r="F39" s="68">
        <f xml:space="preserve"> IFERROR(VLOOKUP(TBL_Rank[[#This Row],[Team Nr]],TBL_S1[[Nr 1]:[Nr 2]],5,FALSE), INDEX(TBL_S1[Nr 1], MATCH(TBL_Rank[[#This Row],[Team Nr]],TBL_S1[Nr 2],0)))</f>
        <v>46</v>
      </c>
      <c r="G39" s="67">
        <f xml:space="preserve"> IFERROR(VLOOKUP(TBL_Rank[[#This Row],[Team Nr]],TBL_S2[[Nr 1]:[Nr 2]],5,FALSE), INDEX(TBL_S2[Nr 1], MATCH(TBL_Rank[[#This Row],[Team Nr]],TBL_S2[Nr 2],0)))</f>
        <v>43</v>
      </c>
      <c r="H39" s="68">
        <f xml:space="preserve"> IFERROR(VLOOKUP(TBL_Rank[[#This Row],[Team Nr]],TBL_S3[[Nr 1]:[Nr 2]],5,FALSE), INDEX(TBL_S3[Nr 1], MATCH(TBL_Rank[[#This Row],[Team Nr]],TBL_S3[Nr 2],0)))</f>
        <v>45</v>
      </c>
      <c r="I39" s="67">
        <f xml:space="preserve"> IFERROR(VLOOKUP(TBL_Rank[[#This Row],[Team Nr]],TBL_S4[[Nr 1]:[Nr 2]],5,FALSE), INDEX(TBL_S4[Nr 1], MATCH(TBL_Rank[[#This Row],[Team Nr]],TBL_S4[Nr 2],0)))</f>
        <v>3</v>
      </c>
      <c r="J39" s="67">
        <f xml:space="preserve"> IFERROR(VLOOKUP(TBL_Rank[[#This Row],[Team Nr]],TBL_S5[[Nr 1]:[Nr 2]],5,FALSE), INDEX(TBL_S5[Nr 1], MATCH(TBL_Rank[[#This Row],[Team Nr]],TBL_S5[Nr 2],0)))</f>
        <v>9</v>
      </c>
      <c r="K39" s="66">
        <f xml:space="preserve"> IFERROR(VLOOKUP(TBL_Rank[[#This Row],[Team Nr]],TBL_S6[[Nr 1]:[Nr 2]],5,FALSE), INDEX(TBL_S6[Nr 1], MATCH(TBL_Rank[[#This Row],[Team Nr]],TBL_S6[Nr 2],0)))</f>
        <v>15</v>
      </c>
      <c r="L39" s="67">
        <f xml:space="preserve"> IFERROR(VLOOKUP(TBL_Rank[[#This Row],[Team Nr]],TBL_S7[[Nr 1]:[Nr 2]],5,FALSE), INDEX(TBL_S7[Nr 1], MATCH(TBL_Rank[[#This Row],[Team Nr]],TBL_S7[Nr 2],0)))</f>
        <v>38</v>
      </c>
      <c r="M39" s="68">
        <f xml:space="preserve"> IFERROR(VLOOKUP(TBL_Rank[[#This Row],[Team Nr]],TBL_S8[[Nr 1]:[Nr 2]],5,FALSE), INDEX(TBL_S8[Nr 1], MATCH(TBL_Rank[[#This Row],[Team Nr]],TBL_S8[Nr 2],0)))</f>
        <v>41</v>
      </c>
      <c r="N39" s="96">
        <f xml:space="preserve"> IFERROR(VLOOKUP(TBL_Rank[[#This Row],[Team Naam]],TBL_S1[["Thuis" ploeg (1)]:[VP 2]],8,FALSE), VLOOKUP(TBL_Rank[[#This Row],[Team Naam]],TBL_S1[["Uit" ploeg (2)]:[VP 2]],7,FALSE))</f>
        <v>2.8099999999999987</v>
      </c>
      <c r="O39" s="57">
        <f xml:space="preserve"> IFERROR(VLOOKUP(TBL_Rank[[#This Row],[Team Naam]],TBL_S2[["Thuis" ploeg (1)]:[VP 2]],8,FALSE), VLOOKUP(TBL_Rank[[#This Row],[Team Naam]],TBL_S2[["Uit" ploeg (2)]:[VP 2]],7,FALSE))</f>
        <v>17.059999999999999</v>
      </c>
      <c r="P39" s="57">
        <f xml:space="preserve"> IFERROR(VLOOKUP(TBL_Rank[[#This Row],[Team Naam]],TBL_S3[["Thuis" ploeg (1)]:[VP 2]],8,FALSE), VLOOKUP(TBL_Rank[[#This Row],[Team Naam]],TBL_S3[["Uit" ploeg (2)]:[VP 2]],7,FALSE))</f>
        <v>1.6700000000000017</v>
      </c>
      <c r="Q39" s="57">
        <f xml:space="preserve"> IFERROR(VLOOKUP(TBL_Rank[[#This Row],[Team Naam]],TBL_S4[["Thuis" ploeg (1)]:[VP 2]],8,FALSE), VLOOKUP(TBL_Rank[[#This Row],[Team Naam]],TBL_S4[["Uit" ploeg (2)]:[VP 2]],7,FALSE))</f>
        <v>0</v>
      </c>
      <c r="R39" s="57">
        <f xml:space="preserve"> IFERROR(VLOOKUP(TBL_Rank[[#This Row],[Team Naam]],TBL_S5[["Thuis" ploeg (1)]:[VP 2]],8,FALSE), VLOOKUP(TBL_Rank[[#This Row],[Team Naam]],TBL_S5[["Uit" ploeg (2)]:[VP 2]],7,FALSE))</f>
        <v>5.6099999999999994</v>
      </c>
      <c r="S39" s="57">
        <f xml:space="preserve"> IFERROR(VLOOKUP(TBL_Rank[[#This Row],[Team Naam]],TBL_S6[["Thuis" ploeg (1)]:[VP 2]],8,FALSE), VLOOKUP(TBL_Rank[[#This Row],[Team Naam]],TBL_S6[["Uit" ploeg (2)]:[VP 2]],7,FALSE))</f>
        <v>8.66</v>
      </c>
      <c r="T39" s="57">
        <f xml:space="preserve"> IFERROR(VLOOKUP(TBL_Rank[[#This Row],[Team Naam]],TBL_S7[["Thuis" ploeg (1)]:[VP 2]],8,FALSE), VLOOKUP(TBL_Rank[[#This Row],[Team Naam]],TBL_S7[["Uit" ploeg (2)]:[VP 2]],7,FALSE))</f>
        <v>10.28</v>
      </c>
      <c r="U39" s="75">
        <f xml:space="preserve"> IFERROR(VLOOKUP(TBL_Rank[[#This Row],[Team Naam]],TBL_S8[["Thuis" ploeg (1)]:[VP 2]],8,FALSE), VLOOKUP(TBL_Rank[[#This Row],[Team Naam]],TBL_S8[["Uit" ploeg (2)]:[VP 2]],7,FALSE))</f>
        <v>20</v>
      </c>
    </row>
    <row r="40" spans="2:21" x14ac:dyDescent="0.3">
      <c r="B40" s="72">
        <v>37</v>
      </c>
      <c r="C40" s="91">
        <v>25</v>
      </c>
      <c r="D40" s="92" t="str">
        <f xml:space="preserve"> VLOOKUP(TBL_Rank[[#This Row],[Team Nr]],TBL_Team[],2,FALSE)</f>
        <v>Bree</v>
      </c>
      <c r="E40" s="102">
        <f xml:space="preserve"> SUM(TBL_Rank[[#This Row],[Speeldag 1]:[Speeldag 8]])</f>
        <v>64.679999999999993</v>
      </c>
      <c r="F40" s="68">
        <f xml:space="preserve"> IFERROR(VLOOKUP(TBL_Rank[[#This Row],[Team Nr]],TBL_S1[[Nr 1]:[Nr 2]],5,FALSE), INDEX(TBL_S1[Nr 1], MATCH(TBL_Rank[[#This Row],[Team Nr]],TBL_S1[Nr 2],0)))</f>
        <v>43</v>
      </c>
      <c r="G40" s="67">
        <f xml:space="preserve"> IFERROR(VLOOKUP(TBL_Rank[[#This Row],[Team Nr]],TBL_S2[[Nr 1]:[Nr 2]],5,FALSE), INDEX(TBL_S2[Nr 1], MATCH(TBL_Rank[[#This Row],[Team Nr]],TBL_S2[Nr 2],0)))</f>
        <v>4</v>
      </c>
      <c r="H40" s="68">
        <f xml:space="preserve"> IFERROR(VLOOKUP(TBL_Rank[[#This Row],[Team Nr]],TBL_S3[[Nr 1]:[Nr 2]],5,FALSE), INDEX(TBL_S3[Nr 1], MATCH(TBL_Rank[[#This Row],[Team Nr]],TBL_S3[Nr 2],0)))</f>
        <v>26</v>
      </c>
      <c r="I40" s="67">
        <f xml:space="preserve"> IFERROR(VLOOKUP(TBL_Rank[[#This Row],[Team Nr]],TBL_S4[[Nr 1]:[Nr 2]],5,FALSE), INDEX(TBL_S4[Nr 1], MATCH(TBL_Rank[[#This Row],[Team Nr]],TBL_S4[Nr 2],0)))</f>
        <v>20</v>
      </c>
      <c r="J40" s="67">
        <f xml:space="preserve"> IFERROR(VLOOKUP(TBL_Rank[[#This Row],[Team Nr]],TBL_S5[[Nr 1]:[Nr 2]],5,FALSE), INDEX(TBL_S5[Nr 1], MATCH(TBL_Rank[[#This Row],[Team Nr]],TBL_S5[Nr 2],0)))</f>
        <v>41</v>
      </c>
      <c r="K40" s="66">
        <f xml:space="preserve"> IFERROR(VLOOKUP(TBL_Rank[[#This Row],[Team Nr]],TBL_S6[[Nr 1]:[Nr 2]],5,FALSE), INDEX(TBL_S6[Nr 1], MATCH(TBL_Rank[[#This Row],[Team Nr]],TBL_S6[Nr 2],0)))</f>
        <v>9</v>
      </c>
      <c r="L40" s="67">
        <f xml:space="preserve"> IFERROR(VLOOKUP(TBL_Rank[[#This Row],[Team Nr]],TBL_S7[[Nr 1]:[Nr 2]],5,FALSE), INDEX(TBL_S7[Nr 1], MATCH(TBL_Rank[[#This Row],[Team Nr]],TBL_S7[Nr 2],0)))</f>
        <v>29</v>
      </c>
      <c r="M40" s="68">
        <f xml:space="preserve"> IFERROR(VLOOKUP(TBL_Rank[[#This Row],[Team Nr]],TBL_S8[[Nr 1]:[Nr 2]],5,FALSE), INDEX(TBL_S8[Nr 1], MATCH(TBL_Rank[[#This Row],[Team Nr]],TBL_S8[Nr 2],0)))</f>
        <v>14</v>
      </c>
      <c r="N40" s="97">
        <f xml:space="preserve"> IFERROR(VLOOKUP(TBL_Rank[[#This Row],[Team Naam]],TBL_S1[["Thuis" ploeg (1)]:[VP 2]],8,FALSE), VLOOKUP(TBL_Rank[[#This Row],[Team Naam]],TBL_S1[["Uit" ploeg (2)]:[VP 2]],7,FALSE))</f>
        <v>17.559999999999999</v>
      </c>
      <c r="O40" s="57">
        <f xml:space="preserve"> IFERROR(VLOOKUP(TBL_Rank[[#This Row],[Team Naam]],TBL_S2[["Thuis" ploeg (1)]:[VP 2]],8,FALSE), VLOOKUP(TBL_Rank[[#This Row],[Team Naam]],TBL_S2[["Uit" ploeg (2)]:[VP 2]],7,FALSE))</f>
        <v>0.21000000000000085</v>
      </c>
      <c r="P40" s="57">
        <f xml:space="preserve"> IFERROR(VLOOKUP(TBL_Rank[[#This Row],[Team Naam]],TBL_S3[["Thuis" ploeg (1)]:[VP 2]],8,FALSE), VLOOKUP(TBL_Rank[[#This Row],[Team Naam]],TBL_S3[["Uit" ploeg (2)]:[VP 2]],7,FALSE))</f>
        <v>1</v>
      </c>
      <c r="Q40" s="57">
        <f xml:space="preserve"> IFERROR(VLOOKUP(TBL_Rank[[#This Row],[Team Naam]],TBL_S4[["Thuis" ploeg (1)]:[VP 2]],8,FALSE), VLOOKUP(TBL_Rank[[#This Row],[Team Naam]],TBL_S4[["Uit" ploeg (2)]:[VP 2]],7,FALSE))</f>
        <v>6.59</v>
      </c>
      <c r="R40" s="57">
        <f xml:space="preserve"> IFERROR(VLOOKUP(TBL_Rank[[#This Row],[Team Naam]],TBL_S5[["Thuis" ploeg (1)]:[VP 2]],8,FALSE), VLOOKUP(TBL_Rank[[#This Row],[Team Naam]],TBL_S5[["Uit" ploeg (2)]:[VP 2]],7,FALSE))</f>
        <v>14.76</v>
      </c>
      <c r="S40" s="57">
        <f xml:space="preserve"> IFERROR(VLOOKUP(TBL_Rank[[#This Row],[Team Naam]],TBL_S6[["Thuis" ploeg (1)]:[VP 2]],8,FALSE), VLOOKUP(TBL_Rank[[#This Row],[Team Naam]],TBL_S6[["Uit" ploeg (2)]:[VP 2]],7,FALSE))</f>
        <v>11.08</v>
      </c>
      <c r="T40" s="57">
        <f xml:space="preserve"> IFERROR(VLOOKUP(TBL_Rank[[#This Row],[Team Naam]],TBL_S7[["Thuis" ploeg (1)]:[VP 2]],8,FALSE), VLOOKUP(TBL_Rank[[#This Row],[Team Naam]],TBL_S7[["Uit" ploeg (2)]:[VP 2]],7,FALSE))</f>
        <v>7.0000000000000284E-2</v>
      </c>
      <c r="U40" s="75">
        <f xml:space="preserve"> IFERROR(VLOOKUP(TBL_Rank[[#This Row],[Team Naam]],TBL_S8[["Thuis" ploeg (1)]:[VP 2]],8,FALSE), VLOOKUP(TBL_Rank[[#This Row],[Team Naam]],TBL_S8[["Uit" ploeg (2)]:[VP 2]],7,FALSE))</f>
        <v>13.41</v>
      </c>
    </row>
    <row r="41" spans="2:21" x14ac:dyDescent="0.3">
      <c r="B41" s="72">
        <v>38</v>
      </c>
      <c r="C41" s="91">
        <v>38</v>
      </c>
      <c r="D41" s="92" t="str">
        <f xml:space="preserve"> VLOOKUP(TBL_Rank[[#This Row],[Team Nr]],TBL_Team[],2,FALSE)</f>
        <v>Sandeman 6</v>
      </c>
      <c r="E41" s="101">
        <f xml:space="preserve"> SUM(TBL_Rank[[#This Row],[Speeldag 1]:[Speeldag 8]])</f>
        <v>64.5</v>
      </c>
      <c r="F41" s="68">
        <f xml:space="preserve"> IFERROR(VLOOKUP(TBL_Rank[[#This Row],[Team Nr]],TBL_S1[[Nr 1]:[Nr 2]],5,FALSE), INDEX(TBL_S1[Nr 1], MATCH(TBL_Rank[[#This Row],[Team Nr]],TBL_S1[Nr 2],0)))</f>
        <v>16</v>
      </c>
      <c r="G41" s="67">
        <f xml:space="preserve"> IFERROR(VLOOKUP(TBL_Rank[[#This Row],[Team Nr]],TBL_S2[[Nr 1]:[Nr 2]],5,FALSE), INDEX(TBL_S2[Nr 1], MATCH(TBL_Rank[[#This Row],[Team Nr]],TBL_S2[Nr 2],0)))</f>
        <v>27</v>
      </c>
      <c r="H41" s="68">
        <f xml:space="preserve"> IFERROR(VLOOKUP(TBL_Rank[[#This Row],[Team Nr]],TBL_S3[[Nr 1]:[Nr 2]],5,FALSE), INDEX(TBL_S3[Nr 1], MATCH(TBL_Rank[[#This Row],[Team Nr]],TBL_S3[Nr 2],0)))</f>
        <v>31</v>
      </c>
      <c r="I41" s="67">
        <f xml:space="preserve"> IFERROR(VLOOKUP(TBL_Rank[[#This Row],[Team Nr]],TBL_S4[[Nr 1]:[Nr 2]],5,FALSE), INDEX(TBL_S4[Nr 1], MATCH(TBL_Rank[[#This Row],[Team Nr]],TBL_S4[Nr 2],0)))</f>
        <v>1</v>
      </c>
      <c r="J41" s="67">
        <f xml:space="preserve"> IFERROR(VLOOKUP(TBL_Rank[[#This Row],[Team Nr]],TBL_S5[[Nr 1]:[Nr 2]],5,FALSE), INDEX(TBL_S5[Nr 1], MATCH(TBL_Rank[[#This Row],[Team Nr]],TBL_S5[Nr 2],0)))</f>
        <v>43</v>
      </c>
      <c r="K41" s="66">
        <f xml:space="preserve"> IFERROR(VLOOKUP(TBL_Rank[[#This Row],[Team Nr]],TBL_S6[[Nr 1]:[Nr 2]],5,FALSE), INDEX(TBL_S6[Nr 1], MATCH(TBL_Rank[[#This Row],[Team Nr]],TBL_S6[Nr 2],0)))</f>
        <v>36</v>
      </c>
      <c r="L41" s="67">
        <f xml:space="preserve"> IFERROR(VLOOKUP(TBL_Rank[[#This Row],[Team Nr]],TBL_S7[[Nr 1]:[Nr 2]],5,FALSE), INDEX(TBL_S7[Nr 1], MATCH(TBL_Rank[[#This Row],[Team Nr]],TBL_S7[Nr 2],0)))</f>
        <v>44</v>
      </c>
      <c r="M41" s="68">
        <f xml:space="preserve"> IFERROR(VLOOKUP(TBL_Rank[[#This Row],[Team Nr]],TBL_S8[[Nr 1]:[Nr 2]],5,FALSE), INDEX(TBL_S8[Nr 1], MATCH(TBL_Rank[[#This Row],[Team Nr]],TBL_S8[Nr 2],0)))</f>
        <v>15</v>
      </c>
      <c r="N41" s="96">
        <f xml:space="preserve"> IFERROR(VLOOKUP(TBL_Rank[[#This Row],[Team Naam]],TBL_S1[["Thuis" ploeg (1)]:[VP 2]],8,FALSE), VLOOKUP(TBL_Rank[[#This Row],[Team Naam]],TBL_S1[["Uit" ploeg (2)]:[VP 2]],7,FALSE))</f>
        <v>5.6099999999999994</v>
      </c>
      <c r="O41" s="57">
        <f xml:space="preserve"> IFERROR(VLOOKUP(TBL_Rank[[#This Row],[Team Naam]],TBL_S2[["Thuis" ploeg (1)]:[VP 2]],8,FALSE), VLOOKUP(TBL_Rank[[#This Row],[Team Naam]],TBL_S2[["Uit" ploeg (2)]:[VP 2]],7,FALSE))</f>
        <v>11.34</v>
      </c>
      <c r="P41" s="57">
        <f xml:space="preserve"> IFERROR(VLOOKUP(TBL_Rank[[#This Row],[Team Naam]],TBL_S3[["Thuis" ploeg (1)]:[VP 2]],8,FALSE), VLOOKUP(TBL_Rank[[#This Row],[Team Naam]],TBL_S3[["Uit" ploeg (2)]:[VP 2]],7,FALSE))</f>
        <v>0.67000000000000171</v>
      </c>
      <c r="Q41" s="57">
        <f xml:space="preserve"> IFERROR(VLOOKUP(TBL_Rank[[#This Row],[Team Naam]],TBL_S4[["Thuis" ploeg (1)]:[VP 2]],8,FALSE), VLOOKUP(TBL_Rank[[#This Row],[Team Naam]],TBL_S4[["Uit" ploeg (2)]:[VP 2]],7,FALSE))</f>
        <v>1.879999999999999</v>
      </c>
      <c r="R41" s="57">
        <f xml:space="preserve"> IFERROR(VLOOKUP(TBL_Rank[[#This Row],[Team Naam]],TBL_S5[["Thuis" ploeg (1)]:[VP 2]],8,FALSE), VLOOKUP(TBL_Rank[[#This Row],[Team Naam]],TBL_S5[["Uit" ploeg (2)]:[VP 2]],7,FALSE))</f>
        <v>12.76</v>
      </c>
      <c r="S41" s="57">
        <f xml:space="preserve"> IFERROR(VLOOKUP(TBL_Rank[[#This Row],[Team Naam]],TBL_S6[["Thuis" ploeg (1)]:[VP 2]],8,FALSE), VLOOKUP(TBL_Rank[[#This Row],[Team Naam]],TBL_S6[["Uit" ploeg (2)]:[VP 2]],7,FALSE))</f>
        <v>7.24</v>
      </c>
      <c r="T41" s="57">
        <f xml:space="preserve"> IFERROR(VLOOKUP(TBL_Rank[[#This Row],[Team Naam]],TBL_S7[["Thuis" ploeg (1)]:[VP 2]],8,FALSE), VLOOKUP(TBL_Rank[[#This Row],[Team Naam]],TBL_S7[["Uit" ploeg (2)]:[VP 2]],7,FALSE))</f>
        <v>9.7200000000000006</v>
      </c>
      <c r="U41" s="75">
        <f xml:space="preserve"> IFERROR(VLOOKUP(TBL_Rank[[#This Row],[Team Naam]],TBL_S8[["Thuis" ploeg (1)]:[VP 2]],8,FALSE), VLOOKUP(TBL_Rank[[#This Row],[Team Naam]],TBL_S8[["Uit" ploeg (2)]:[VP 2]],7,FALSE))</f>
        <v>15.28</v>
      </c>
    </row>
    <row r="42" spans="2:21" x14ac:dyDescent="0.3">
      <c r="B42" s="72">
        <v>39</v>
      </c>
      <c r="C42" s="91">
        <v>9</v>
      </c>
      <c r="D42" s="95" t="str">
        <f xml:space="preserve"> VLOOKUP(TBL_Rank[[#This Row],[Team Nr]],TBL_Team[],2,FALSE)</f>
        <v>De Cuatros</v>
      </c>
      <c r="E42" s="101">
        <f xml:space="preserve"> SUM(TBL_Rank[[#This Row],[Speeldag 1]:[Speeldag 8]])</f>
        <v>64.010000000000005</v>
      </c>
      <c r="F42" s="66">
        <f xml:space="preserve"> IFERROR(VLOOKUP(TBL_Rank[[#This Row],[Team Nr]],TBL_S1[[Nr 1]:[Nr 2]],5,FALSE), INDEX(TBL_S1[Nr 1], MATCH(TBL_Rank[[#This Row],[Team Nr]],TBL_S1[Nr 2],0)))</f>
        <v>10</v>
      </c>
      <c r="G42" s="65">
        <f xml:space="preserve"> IFERROR(VLOOKUP(TBL_Rank[[#This Row],[Team Nr]],TBL_S2[[Nr 1]:[Nr 2]],5,FALSE), INDEX(TBL_S2[Nr 1], MATCH(TBL_Rank[[#This Row],[Team Nr]],TBL_S2[Nr 2],0)))</f>
        <v>29</v>
      </c>
      <c r="H42" s="66">
        <f xml:space="preserve"> IFERROR(VLOOKUP(TBL_Rank[[#This Row],[Team Nr]],TBL_S3[[Nr 1]:[Nr 2]],5,FALSE), INDEX(TBL_S3[Nr 1], MATCH(TBL_Rank[[#This Row],[Team Nr]],TBL_S3[Nr 2],0)))</f>
        <v>15</v>
      </c>
      <c r="I42" s="65">
        <f xml:space="preserve"> IFERROR(VLOOKUP(TBL_Rank[[#This Row],[Team Nr]],TBL_S4[[Nr 1]:[Nr 2]],5,FALSE), INDEX(TBL_S4[Nr 1], MATCH(TBL_Rank[[#This Row],[Team Nr]],TBL_S4[Nr 2],0)))</f>
        <v>36</v>
      </c>
      <c r="J42" s="65">
        <f xml:space="preserve"> IFERROR(VLOOKUP(TBL_Rank[[#This Row],[Team Nr]],TBL_S5[[Nr 1]:[Nr 2]],5,FALSE), INDEX(TBL_S5[Nr 1], MATCH(TBL_Rank[[#This Row],[Team Nr]],TBL_S5[Nr 2],0)))</f>
        <v>44</v>
      </c>
      <c r="K42" s="66">
        <f xml:space="preserve"> IFERROR(VLOOKUP(TBL_Rank[[#This Row],[Team Nr]],TBL_S6[[Nr 1]:[Nr 2]],5,FALSE), INDEX(TBL_S6[Nr 1], MATCH(TBL_Rank[[#This Row],[Team Nr]],TBL_S6[Nr 2],0)))</f>
        <v>25</v>
      </c>
      <c r="L42" s="67">
        <f xml:space="preserve"> IFERROR(VLOOKUP(TBL_Rank[[#This Row],[Team Nr]],TBL_S7[[Nr 1]:[Nr 2]],5,FALSE), INDEX(TBL_S7[Nr 1], MATCH(TBL_Rank[[#This Row],[Team Nr]],TBL_S7[Nr 2],0)))</f>
        <v>12</v>
      </c>
      <c r="M42" s="68">
        <f xml:space="preserve"> IFERROR(VLOOKUP(TBL_Rank[[#This Row],[Team Nr]],TBL_S8[[Nr 1]:[Nr 2]],5,FALSE), INDEX(TBL_S8[Nr 1], MATCH(TBL_Rank[[#This Row],[Team Nr]],TBL_S8[Nr 2],0)))</f>
        <v>34</v>
      </c>
      <c r="N42" s="96">
        <f xml:space="preserve"> IFERROR(VLOOKUP(TBL_Rank[[#This Row],[Team Naam]],TBL_S1[["Thuis" ploeg (1)]:[VP 2]],8,FALSE), VLOOKUP(TBL_Rank[[#This Row],[Team Naam]],TBL_S1[["Uit" ploeg (2)]:[VP 2]],7,FALSE))</f>
        <v>0</v>
      </c>
      <c r="O42" s="23">
        <f xml:space="preserve"> IFERROR(VLOOKUP(TBL_Rank[[#This Row],[Team Naam]],TBL_S2[["Thuis" ploeg (1)]:[VP 2]],8,FALSE), VLOOKUP(TBL_Rank[[#This Row],[Team Naam]],TBL_S2[["Uit" ploeg (2)]:[VP 2]],7,FALSE))</f>
        <v>2.5599999999999987</v>
      </c>
      <c r="P42" s="23">
        <f xml:space="preserve"> IFERROR(VLOOKUP(TBL_Rank[[#This Row],[Team Naam]],TBL_S3[["Thuis" ploeg (1)]:[VP 2]],8,FALSE), VLOOKUP(TBL_Rank[[#This Row],[Team Naam]],TBL_S3[["Uit" ploeg (2)]:[VP 2]],7,FALSE))</f>
        <v>14.76</v>
      </c>
      <c r="Q42" s="23">
        <f xml:space="preserve"> IFERROR(VLOOKUP(TBL_Rank[[#This Row],[Team Naam]],TBL_S4[["Thuis" ploeg (1)]:[VP 2]],8,FALSE), VLOOKUP(TBL_Rank[[#This Row],[Team Naam]],TBL_S4[["Uit" ploeg (2)]:[VP 2]],7,FALSE))</f>
        <v>7.24</v>
      </c>
      <c r="R42" s="23">
        <f xml:space="preserve"> IFERROR(VLOOKUP(TBL_Rank[[#This Row],[Team Naam]],TBL_S5[["Thuis" ploeg (1)]:[VP 2]],8,FALSE), VLOOKUP(TBL_Rank[[#This Row],[Team Naam]],TBL_S5[["Uit" ploeg (2)]:[VP 2]],7,FALSE))</f>
        <v>14.39</v>
      </c>
      <c r="S42" s="23">
        <f xml:space="preserve"> IFERROR(VLOOKUP(TBL_Rank[[#This Row],[Team Naam]],TBL_S6[["Thuis" ploeg (1)]:[VP 2]],8,FALSE), VLOOKUP(TBL_Rank[[#This Row],[Team Naam]],TBL_S6[["Uit" ploeg (2)]:[VP 2]],7,FALSE))</f>
        <v>8.92</v>
      </c>
      <c r="T42" s="23">
        <f xml:space="preserve"> IFERROR(VLOOKUP(TBL_Rank[[#This Row],[Team Naam]],TBL_S7[["Thuis" ploeg (1)]:[VP 2]],8,FALSE), VLOOKUP(TBL_Rank[[#This Row],[Team Naam]],TBL_S7[["Uit" ploeg (2)]:[VP 2]],7,FALSE))</f>
        <v>11.59</v>
      </c>
      <c r="U42" s="74">
        <f xml:space="preserve"> IFERROR(VLOOKUP(TBL_Rank[[#This Row],[Team Naam]],TBL_S8[["Thuis" ploeg (1)]:[VP 2]],8,FALSE), VLOOKUP(TBL_Rank[[#This Row],[Team Naam]],TBL_S8[["Uit" ploeg (2)]:[VP 2]],7,FALSE))</f>
        <v>4.5500000000000007</v>
      </c>
    </row>
    <row r="43" spans="2:21" x14ac:dyDescent="0.3">
      <c r="B43" s="72">
        <v>40</v>
      </c>
      <c r="C43" s="91">
        <v>10</v>
      </c>
      <c r="D43" s="95" t="str">
        <f xml:space="preserve"> VLOOKUP(TBL_Rank[[#This Row],[Team Nr]],TBL_Team[],2,FALSE)</f>
        <v>KATMOTTEPASSE</v>
      </c>
      <c r="E43" s="101">
        <f xml:space="preserve"> SUM(TBL_Rank[[#This Row],[Speeldag 1]:[Speeldag 8]])</f>
        <v>61.97</v>
      </c>
      <c r="F43" s="66">
        <f xml:space="preserve"> IFERROR(VLOOKUP(TBL_Rank[[#This Row],[Team Nr]],TBL_S1[[Nr 1]:[Nr 2]],5,FALSE), INDEX(TBL_S1[Nr 1], MATCH(TBL_Rank[[#This Row],[Team Nr]],TBL_S1[Nr 2],0)))</f>
        <v>9</v>
      </c>
      <c r="G43" s="65">
        <f xml:space="preserve"> IFERROR(VLOOKUP(TBL_Rank[[#This Row],[Team Nr]],TBL_S2[[Nr 1]:[Nr 2]],5,FALSE), INDEX(TBL_S2[Nr 1], MATCH(TBL_Rank[[#This Row],[Team Nr]],TBL_S2[Nr 2],0)))</f>
        <v>7</v>
      </c>
      <c r="H43" s="66">
        <f xml:space="preserve"> IFERROR(VLOOKUP(TBL_Rank[[#This Row],[Team Nr]],TBL_S3[[Nr 1]:[Nr 2]],5,FALSE), INDEX(TBL_S3[Nr 1], MATCH(TBL_Rank[[#This Row],[Team Nr]],TBL_S3[Nr 2],0)))</f>
        <v>34</v>
      </c>
      <c r="I43" s="65">
        <f xml:space="preserve"> IFERROR(VLOOKUP(TBL_Rank[[#This Row],[Team Nr]],TBL_S4[[Nr 1]:[Nr 2]],5,FALSE), INDEX(TBL_S4[Nr 1], MATCH(TBL_Rank[[#This Row],[Team Nr]],TBL_S4[Nr 2],0)))</f>
        <v>32</v>
      </c>
      <c r="J43" s="65">
        <f xml:space="preserve"> IFERROR(VLOOKUP(TBL_Rank[[#This Row],[Team Nr]],TBL_S5[[Nr 1]:[Nr 2]],5,FALSE), INDEX(TBL_S5[Nr 1], MATCH(TBL_Rank[[#This Row],[Team Nr]],TBL_S5[Nr 2],0)))</f>
        <v>3</v>
      </c>
      <c r="K43" s="66">
        <f xml:space="preserve"> IFERROR(VLOOKUP(TBL_Rank[[#This Row],[Team Nr]],TBL_S6[[Nr 1]:[Nr 2]],5,FALSE), INDEX(TBL_S6[Nr 1], MATCH(TBL_Rank[[#This Row],[Team Nr]],TBL_S6[Nr 2],0)))</f>
        <v>29</v>
      </c>
      <c r="L43" s="67">
        <f xml:space="preserve"> IFERROR(VLOOKUP(TBL_Rank[[#This Row],[Team Nr]],TBL_S7[[Nr 1]:[Nr 2]],5,FALSE), INDEX(TBL_S7[Nr 1], MATCH(TBL_Rank[[#This Row],[Team Nr]],TBL_S7[Nr 2],0)))</f>
        <v>18</v>
      </c>
      <c r="M43" s="68">
        <f xml:space="preserve"> IFERROR(VLOOKUP(TBL_Rank[[#This Row],[Team Nr]],TBL_S8[[Nr 1]:[Nr 2]],5,FALSE), INDEX(TBL_S8[Nr 1], MATCH(TBL_Rank[[#This Row],[Team Nr]],TBL_S8[Nr 2],0)))</f>
        <v>8</v>
      </c>
      <c r="N43" s="96">
        <f xml:space="preserve"> IFERROR(VLOOKUP(TBL_Rank[[#This Row],[Team Naam]],TBL_S1[["Thuis" ploeg (1)]:[VP 2]],8,FALSE), VLOOKUP(TBL_Rank[[#This Row],[Team Naam]],TBL_S1[["Uit" ploeg (2)]:[VP 2]],7,FALSE))</f>
        <v>20</v>
      </c>
      <c r="O43" s="23">
        <f xml:space="preserve"> IFERROR(VLOOKUP(TBL_Rank[[#This Row],[Team Naam]],TBL_S2[["Thuis" ploeg (1)]:[VP 2]],8,FALSE), VLOOKUP(TBL_Rank[[#This Row],[Team Naam]],TBL_S2[["Uit" ploeg (2)]:[VP 2]],7,FALSE))</f>
        <v>4.2300000000000004</v>
      </c>
      <c r="P43" s="23">
        <f xml:space="preserve"> IFERROR(VLOOKUP(TBL_Rank[[#This Row],[Team Naam]],TBL_S3[["Thuis" ploeg (1)]:[VP 2]],8,FALSE), VLOOKUP(TBL_Rank[[#This Row],[Team Naam]],TBL_S3[["Uit" ploeg (2)]:[VP 2]],7,FALSE))</f>
        <v>13.2</v>
      </c>
      <c r="Q43" s="23">
        <f xml:space="preserve"> IFERROR(VLOOKUP(TBL_Rank[[#This Row],[Team Naam]],TBL_S4[["Thuis" ploeg (1)]:[VP 2]],8,FALSE), VLOOKUP(TBL_Rank[[#This Row],[Team Naam]],TBL_S4[["Uit" ploeg (2)]:[VP 2]],7,FALSE))</f>
        <v>3.0700000000000003</v>
      </c>
      <c r="R43" s="23">
        <f xml:space="preserve"> IFERROR(VLOOKUP(TBL_Rank[[#This Row],[Team Naam]],TBL_S5[["Thuis" ploeg (1)]:[VP 2]],8,FALSE), VLOOKUP(TBL_Rank[[#This Row],[Team Naam]],TBL_S5[["Uit" ploeg (2)]:[VP 2]],7,FALSE))</f>
        <v>1</v>
      </c>
      <c r="S43" s="23">
        <f xml:space="preserve"> IFERROR(VLOOKUP(TBL_Rank[[#This Row],[Team Naam]],TBL_S6[["Thuis" ploeg (1)]:[VP 2]],8,FALSE), VLOOKUP(TBL_Rank[[#This Row],[Team Naam]],TBL_S6[["Uit" ploeg (2)]:[VP 2]],7,FALSE))</f>
        <v>5.6099999999999994</v>
      </c>
      <c r="T43" s="23">
        <f xml:space="preserve"> IFERROR(VLOOKUP(TBL_Rank[[#This Row],[Team Naam]],TBL_S7[["Thuis" ploeg (1)]:[VP 2]],8,FALSE), VLOOKUP(TBL_Rank[[#This Row],[Team Naam]],TBL_S7[["Uit" ploeg (2)]:[VP 2]],7,FALSE))</f>
        <v>2.5599999999999987</v>
      </c>
      <c r="U43" s="74">
        <f xml:space="preserve"> IFERROR(VLOOKUP(TBL_Rank[[#This Row],[Team Naam]],TBL_S8[["Thuis" ploeg (1)]:[VP 2]],8,FALSE), VLOOKUP(TBL_Rank[[#This Row],[Team Naam]],TBL_S8[["Uit" ploeg (2)]:[VP 2]],7,FALSE))</f>
        <v>12.3</v>
      </c>
    </row>
    <row r="44" spans="2:21" x14ac:dyDescent="0.3">
      <c r="B44" s="72">
        <v>41</v>
      </c>
      <c r="C44" s="91">
        <v>43</v>
      </c>
      <c r="D44" s="92" t="str">
        <f xml:space="preserve"> VLOOKUP(TBL_Rank[[#This Row],[Team Nr]],TBL_Team[],2,FALSE)</f>
        <v>Last minute</v>
      </c>
      <c r="E44" s="101">
        <f xml:space="preserve"> SUM(TBL_Rank[[#This Row],[Speeldag 1]:[Speeldag 8]])</f>
        <v>61.05</v>
      </c>
      <c r="F44" s="68">
        <f xml:space="preserve"> IFERROR(VLOOKUP(TBL_Rank[[#This Row],[Team Nr]],TBL_S1[[Nr 1]:[Nr 2]],5,FALSE), INDEX(TBL_S1[Nr 1], MATCH(TBL_Rank[[#This Row],[Team Nr]],TBL_S1[Nr 2],0)))</f>
        <v>25</v>
      </c>
      <c r="G44" s="67">
        <f xml:space="preserve"> IFERROR(VLOOKUP(TBL_Rank[[#This Row],[Team Nr]],TBL_S2[[Nr 1]:[Nr 2]],5,FALSE), INDEX(TBL_S2[Nr 1], MATCH(TBL_Rank[[#This Row],[Team Nr]],TBL_S2[Nr 2],0)))</f>
        <v>44</v>
      </c>
      <c r="H44" s="68">
        <f xml:space="preserve"> IFERROR(VLOOKUP(TBL_Rank[[#This Row],[Team Nr]],TBL_S3[[Nr 1]:[Nr 2]],5,FALSE), INDEX(TBL_S3[Nr 1], MATCH(TBL_Rank[[#This Row],[Team Nr]],TBL_S3[Nr 2],0)))</f>
        <v>3</v>
      </c>
      <c r="I44" s="67">
        <f xml:space="preserve"> IFERROR(VLOOKUP(TBL_Rank[[#This Row],[Team Nr]],TBL_S4[[Nr 1]:[Nr 2]],5,FALSE), INDEX(TBL_S4[Nr 1], MATCH(TBL_Rank[[#This Row],[Team Nr]],TBL_S4[Nr 2],0)))</f>
        <v>8</v>
      </c>
      <c r="J44" s="67">
        <f xml:space="preserve"> IFERROR(VLOOKUP(TBL_Rank[[#This Row],[Team Nr]],TBL_S5[[Nr 1]:[Nr 2]],5,FALSE), INDEX(TBL_S5[Nr 1], MATCH(TBL_Rank[[#This Row],[Team Nr]],TBL_S5[Nr 2],0)))</f>
        <v>38</v>
      </c>
      <c r="K44" s="66">
        <f xml:space="preserve"> IFERROR(VLOOKUP(TBL_Rank[[#This Row],[Team Nr]],TBL_S6[[Nr 1]:[Nr 2]],5,FALSE), INDEX(TBL_S6[Nr 1], MATCH(TBL_Rank[[#This Row],[Team Nr]],TBL_S6[Nr 2],0)))</f>
        <v>41</v>
      </c>
      <c r="L44" s="67">
        <f xml:space="preserve"> IFERROR(VLOOKUP(TBL_Rank[[#This Row],[Team Nr]],TBL_S7[[Nr 1]:[Nr 2]],5,FALSE), INDEX(TBL_S7[Nr 1], MATCH(TBL_Rank[[#This Row],[Team Nr]],TBL_S7[Nr 2],0)))</f>
        <v>15</v>
      </c>
      <c r="M44" s="68">
        <f xml:space="preserve"> IFERROR(VLOOKUP(TBL_Rank[[#This Row],[Team Nr]],TBL_S8[[Nr 1]:[Nr 2]],5,FALSE), INDEX(TBL_S8[Nr 1], MATCH(TBL_Rank[[#This Row],[Team Nr]],TBL_S8[Nr 2],0)))</f>
        <v>12</v>
      </c>
      <c r="N44" s="96">
        <f xml:space="preserve"> IFERROR(VLOOKUP(TBL_Rank[[#This Row],[Team Naam]],TBL_S1[["Thuis" ploeg (1)]:[VP 2]],8,FALSE), VLOOKUP(TBL_Rank[[#This Row],[Team Naam]],TBL_S1[["Uit" ploeg (2)]:[VP 2]],7,FALSE))</f>
        <v>2.4400000000000013</v>
      </c>
      <c r="O44" s="57">
        <f xml:space="preserve"> IFERROR(VLOOKUP(TBL_Rank[[#This Row],[Team Naam]],TBL_S2[["Thuis" ploeg (1)]:[VP 2]],8,FALSE), VLOOKUP(TBL_Rank[[#This Row],[Team Naam]],TBL_S2[["Uit" ploeg (2)]:[VP 2]],7,FALSE))</f>
        <v>2.9400000000000013</v>
      </c>
      <c r="P44" s="57">
        <f xml:space="preserve"> IFERROR(VLOOKUP(TBL_Rank[[#This Row],[Team Naam]],TBL_S3[["Thuis" ploeg (1)]:[VP 2]],8,FALSE), VLOOKUP(TBL_Rank[[#This Row],[Team Naam]],TBL_S3[["Uit" ploeg (2)]:[VP 2]],7,FALSE))</f>
        <v>4.3900000000000006</v>
      </c>
      <c r="Q44" s="57">
        <f xml:space="preserve"> IFERROR(VLOOKUP(TBL_Rank[[#This Row],[Team Naam]],TBL_S4[["Thuis" ploeg (1)]:[VP 2]],8,FALSE), VLOOKUP(TBL_Rank[[#This Row],[Team Naam]],TBL_S4[["Uit" ploeg (2)]:[VP 2]],7,FALSE))</f>
        <v>11.34</v>
      </c>
      <c r="R44" s="57">
        <f xml:space="preserve"> IFERROR(VLOOKUP(TBL_Rank[[#This Row],[Team Naam]],TBL_S5[["Thuis" ploeg (1)]:[VP 2]],8,FALSE), VLOOKUP(TBL_Rank[[#This Row],[Team Naam]],TBL_S5[["Uit" ploeg (2)]:[VP 2]],7,FALSE))</f>
        <v>7.24</v>
      </c>
      <c r="S44" s="57">
        <f xml:space="preserve"> IFERROR(VLOOKUP(TBL_Rank[[#This Row],[Team Naam]],TBL_S6[["Thuis" ploeg (1)]:[VP 2]],8,FALSE), VLOOKUP(TBL_Rank[[#This Row],[Team Naam]],TBL_S6[["Uit" ploeg (2)]:[VP 2]],7,FALSE))</f>
        <v>16.079999999999998</v>
      </c>
      <c r="T44" s="57">
        <f xml:space="preserve"> IFERROR(VLOOKUP(TBL_Rank[[#This Row],[Team Naam]],TBL_S7[["Thuis" ploeg (1)]:[VP 2]],8,FALSE), VLOOKUP(TBL_Rank[[#This Row],[Team Naam]],TBL_S7[["Uit" ploeg (2)]:[VP 2]],7,FALSE))</f>
        <v>12.07</v>
      </c>
      <c r="U44" s="75">
        <f xml:space="preserve"> IFERROR(VLOOKUP(TBL_Rank[[#This Row],[Team Naam]],TBL_S8[["Thuis" ploeg (1)]:[VP 2]],8,FALSE), VLOOKUP(TBL_Rank[[#This Row],[Team Naam]],TBL_S8[["Uit" ploeg (2)]:[VP 2]],7,FALSE))</f>
        <v>4.5500000000000007</v>
      </c>
    </row>
    <row r="45" spans="2:21" x14ac:dyDescent="0.3">
      <c r="B45" s="72">
        <v>42</v>
      </c>
      <c r="C45" s="91">
        <v>1</v>
      </c>
      <c r="D45" s="95" t="str">
        <f xml:space="preserve"> VLOOKUP(TBL_Rank[[#This Row],[Team Nr]],TBL_Team[],2,FALSE)</f>
        <v>Boeckenberg MK</v>
      </c>
      <c r="E45" s="101">
        <f xml:space="preserve"> SUM(TBL_Rank[[#This Row],[Speeldag 1]:[Speeldag 8]])</f>
        <v>60.65</v>
      </c>
      <c r="F45" s="66">
        <f xml:space="preserve"> IFERROR(VLOOKUP(TBL_Rank[[#This Row],[Team Nr]],TBL_S1[[Nr 1]:[Nr 2]],5,FALSE), INDEX(TBL_S1[Nr 1], MATCH(TBL_Rank[[#This Row],[Team Nr]],TBL_S1[Nr 2],0)))</f>
        <v>34</v>
      </c>
      <c r="G45" s="65">
        <f xml:space="preserve"> IFERROR(VLOOKUP(TBL_Rank[[#This Row],[Team Nr]],TBL_S2[[Nr 1]:[Nr 2]],5,FALSE), INDEX(TBL_S2[Nr 1], MATCH(TBL_Rank[[#This Row],[Team Nr]],TBL_S2[Nr 2],0)))</f>
        <v>20</v>
      </c>
      <c r="H45" s="66">
        <f xml:space="preserve"> IFERROR(VLOOKUP(TBL_Rank[[#This Row],[Team Nr]],TBL_S3[[Nr 1]:[Nr 2]],5,FALSE), INDEX(TBL_S3[Nr 1], MATCH(TBL_Rank[[#This Row],[Team Nr]],TBL_S3[Nr 2],0)))</f>
        <v>11</v>
      </c>
      <c r="I45" s="65">
        <f xml:space="preserve"> IFERROR(VLOOKUP(TBL_Rank[[#This Row],[Team Nr]],TBL_S4[[Nr 1]:[Nr 2]],5,FALSE), INDEX(TBL_S4[Nr 1], MATCH(TBL_Rank[[#This Row],[Team Nr]],TBL_S4[Nr 2],0)))</f>
        <v>38</v>
      </c>
      <c r="J45" s="65">
        <f xml:space="preserve"> IFERROR(VLOOKUP(TBL_Rank[[#This Row],[Team Nr]],TBL_S5[[Nr 1]:[Nr 2]],5,FALSE), INDEX(TBL_S5[Nr 1], MATCH(TBL_Rank[[#This Row],[Team Nr]],TBL_S5[Nr 2],0)))</f>
        <v>31</v>
      </c>
      <c r="K45" s="66">
        <f xml:space="preserve"> IFERROR(VLOOKUP(TBL_Rank[[#This Row],[Team Nr]],TBL_S6[[Nr 1]:[Nr 2]],5,FALSE), INDEX(TBL_S6[Nr 1], MATCH(TBL_Rank[[#This Row],[Team Nr]],TBL_S6[Nr 2],0)))</f>
        <v>13</v>
      </c>
      <c r="L45" s="67">
        <f xml:space="preserve"> IFERROR(VLOOKUP(TBL_Rank[[#This Row],[Team Nr]],TBL_S7[[Nr 1]:[Nr 2]],5,FALSE), INDEX(TBL_S7[Nr 1], MATCH(TBL_Rank[[#This Row],[Team Nr]],TBL_S7[Nr 2],0)))</f>
        <v>14</v>
      </c>
      <c r="M45" s="68">
        <f xml:space="preserve"> IFERROR(VLOOKUP(TBL_Rank[[#This Row],[Team Nr]],TBL_S8[[Nr 1]:[Nr 2]],5,FALSE), INDEX(TBL_S8[Nr 1], MATCH(TBL_Rank[[#This Row],[Team Nr]],TBL_S8[Nr 2],0)))</f>
        <v>36</v>
      </c>
      <c r="N45" s="96">
        <f xml:space="preserve"> IFERROR(VLOOKUP(TBL_Rank[[#This Row],[Team Naam]],TBL_S1[["Thuis" ploeg (1)]:[VP 2]],8,FALSE), VLOOKUP(TBL_Rank[[#This Row],[Team Naam]],TBL_S1[["Uit" ploeg (2)]:[VP 2]],7,FALSE))</f>
        <v>6.59</v>
      </c>
      <c r="O45" s="23">
        <f xml:space="preserve"> IFERROR(VLOOKUP(TBL_Rank[[#This Row],[Team Naam]],TBL_S2[["Thuis" ploeg (1)]:[VP 2]],8,FALSE), VLOOKUP(TBL_Rank[[#This Row],[Team Naam]],TBL_S2[["Uit" ploeg (2)]:[VP 2]],7,FALSE))</f>
        <v>12.53</v>
      </c>
      <c r="P45" s="23">
        <f xml:space="preserve"> IFERROR(VLOOKUP(TBL_Rank[[#This Row],[Team Naam]],TBL_S3[["Thuis" ploeg (1)]:[VP 2]],8,FALSE), VLOOKUP(TBL_Rank[[#This Row],[Team Naam]],TBL_S3[["Uit" ploeg (2)]:[VP 2]],7,FALSE))</f>
        <v>1.2699999999999996</v>
      </c>
      <c r="Q45" s="23">
        <f xml:space="preserve"> IFERROR(VLOOKUP(TBL_Rank[[#This Row],[Team Naam]],TBL_S4[["Thuis" ploeg (1)]:[VP 2]],8,FALSE), VLOOKUP(TBL_Rank[[#This Row],[Team Naam]],TBL_S4[["Uit" ploeg (2)]:[VP 2]],7,FALSE))</f>
        <v>18.12</v>
      </c>
      <c r="R45" s="23">
        <f xml:space="preserve"> IFERROR(VLOOKUP(TBL_Rank[[#This Row],[Team Naam]],TBL_S5[["Thuis" ploeg (1)]:[VP 2]],8,FALSE), VLOOKUP(TBL_Rank[[#This Row],[Team Naam]],TBL_S5[["Uit" ploeg (2)]:[VP 2]],7,FALSE))</f>
        <v>7.24</v>
      </c>
      <c r="S45" s="23">
        <f xml:space="preserve"> IFERROR(VLOOKUP(TBL_Rank[[#This Row],[Team Naam]],TBL_S6[["Thuis" ploeg (1)]:[VP 2]],8,FALSE), VLOOKUP(TBL_Rank[[#This Row],[Team Naam]],TBL_S6[["Uit" ploeg (2)]:[VP 2]],7,FALSE))</f>
        <v>0.35000000000000142</v>
      </c>
      <c r="T45" s="23">
        <f xml:space="preserve"> IFERROR(VLOOKUP(TBL_Rank[[#This Row],[Team Naam]],TBL_S7[["Thuis" ploeg (1)]:[VP 2]],8,FALSE), VLOOKUP(TBL_Rank[[#This Row],[Team Naam]],TBL_S7[["Uit" ploeg (2)]:[VP 2]],7,FALSE))</f>
        <v>14.2</v>
      </c>
      <c r="U45" s="74">
        <f xml:space="preserve"> IFERROR(VLOOKUP(TBL_Rank[[#This Row],[Team Naam]],TBL_S8[["Thuis" ploeg (1)]:[VP 2]],8,FALSE), VLOOKUP(TBL_Rank[[#This Row],[Team Naam]],TBL_S8[["Uit" ploeg (2)]:[VP 2]],7,FALSE))</f>
        <v>0.35000000000000142</v>
      </c>
    </row>
    <row r="46" spans="2:21" x14ac:dyDescent="0.3">
      <c r="B46" s="72">
        <v>43</v>
      </c>
      <c r="C46" s="91">
        <v>14</v>
      </c>
      <c r="D46" s="92" t="str">
        <f xml:space="preserve"> VLOOKUP(TBL_Rank[[#This Row],[Team Nr]],TBL_Team[],2,FALSE)</f>
        <v>Waregem 5</v>
      </c>
      <c r="E46" s="101">
        <f xml:space="preserve"> SUM(TBL_Rank[[#This Row],[Speeldag 1]:[Speeldag 8]])</f>
        <v>58.519999999999996</v>
      </c>
      <c r="F46" s="68">
        <f xml:space="preserve"> IFERROR(VLOOKUP(TBL_Rank[[#This Row],[Team Nr]],TBL_S1[[Nr 1]:[Nr 2]],5,FALSE), INDEX(TBL_S1[Nr 1], MATCH(TBL_Rank[[#This Row],[Team Nr]],TBL_S1[Nr 2],0)))</f>
        <v>36</v>
      </c>
      <c r="G46" s="67">
        <f xml:space="preserve"> IFERROR(VLOOKUP(TBL_Rank[[#This Row],[Team Nr]],TBL_S2[[Nr 1]:[Nr 2]],5,FALSE), INDEX(TBL_S2[Nr 1], MATCH(TBL_Rank[[#This Row],[Team Nr]],TBL_S2[Nr 2],0)))</f>
        <v>30</v>
      </c>
      <c r="H46" s="68">
        <f xml:space="preserve"> IFERROR(VLOOKUP(TBL_Rank[[#This Row],[Team Nr]],TBL_S3[[Nr 1]:[Nr 2]],5,FALSE), INDEX(TBL_S3[Nr 1], MATCH(TBL_Rank[[#This Row],[Team Nr]],TBL_S3[Nr 2],0)))</f>
        <v>29</v>
      </c>
      <c r="I46" s="67">
        <f xml:space="preserve"> IFERROR(VLOOKUP(TBL_Rank[[#This Row],[Team Nr]],TBL_S4[[Nr 1]:[Nr 2]],5,FALSE), INDEX(TBL_S4[Nr 1], MATCH(TBL_Rank[[#This Row],[Team Nr]],TBL_S4[Nr 2],0)))</f>
        <v>37</v>
      </c>
      <c r="J46" s="67">
        <f xml:space="preserve"> IFERROR(VLOOKUP(TBL_Rank[[#This Row],[Team Nr]],TBL_S5[[Nr 1]:[Nr 2]],5,FALSE), INDEX(TBL_S5[Nr 1], MATCH(TBL_Rank[[#This Row],[Team Nr]],TBL_S5[Nr 2],0)))</f>
        <v>20</v>
      </c>
      <c r="K46" s="66">
        <f xml:space="preserve"> IFERROR(VLOOKUP(TBL_Rank[[#This Row],[Team Nr]],TBL_S6[[Nr 1]:[Nr 2]],5,FALSE), INDEX(TBL_S6[Nr 1], MATCH(TBL_Rank[[#This Row],[Team Nr]],TBL_S6[Nr 2],0)))</f>
        <v>18</v>
      </c>
      <c r="L46" s="67">
        <f xml:space="preserve"> IFERROR(VLOOKUP(TBL_Rank[[#This Row],[Team Nr]],TBL_S7[[Nr 1]:[Nr 2]],5,FALSE), INDEX(TBL_S7[Nr 1], MATCH(TBL_Rank[[#This Row],[Team Nr]],TBL_S7[Nr 2],0)))</f>
        <v>1</v>
      </c>
      <c r="M46" s="68">
        <f xml:space="preserve"> IFERROR(VLOOKUP(TBL_Rank[[#This Row],[Team Nr]],TBL_S8[[Nr 1]:[Nr 2]],5,FALSE), INDEX(TBL_S8[Nr 1], MATCH(TBL_Rank[[#This Row],[Team Nr]],TBL_S8[Nr 2],0)))</f>
        <v>25</v>
      </c>
      <c r="N46" s="96">
        <f xml:space="preserve"> IFERROR(VLOOKUP(TBL_Rank[[#This Row],[Team Naam]],TBL_S1[["Thuis" ploeg (1)]:[VP 2]],8,FALSE), VLOOKUP(TBL_Rank[[#This Row],[Team Naam]],TBL_S1[["Uit" ploeg (2)]:[VP 2]],7,FALSE))</f>
        <v>8.17</v>
      </c>
      <c r="O46" s="23">
        <f xml:space="preserve"> IFERROR(VLOOKUP(TBL_Rank[[#This Row],[Team Naam]],TBL_S2[["Thuis" ploeg (1)]:[VP 2]],8,FALSE), VLOOKUP(TBL_Rank[[#This Row],[Team Naam]],TBL_S2[["Uit" ploeg (2)]:[VP 2]],7,FALSE))</f>
        <v>9.4499999999999993</v>
      </c>
      <c r="P46" s="23">
        <f xml:space="preserve"> IFERROR(VLOOKUP(TBL_Rank[[#This Row],[Team Naam]],TBL_S3[["Thuis" ploeg (1)]:[VP 2]],8,FALSE), VLOOKUP(TBL_Rank[[#This Row],[Team Naam]],TBL_S3[["Uit" ploeg (2)]:[VP 2]],7,FALSE))</f>
        <v>15.28</v>
      </c>
      <c r="Q46" s="23">
        <f xml:space="preserve"> IFERROR(VLOOKUP(TBL_Rank[[#This Row],[Team Naam]],TBL_S4[["Thuis" ploeg (1)]:[VP 2]],8,FALSE), VLOOKUP(TBL_Rank[[#This Row],[Team Naam]],TBL_S4[["Uit" ploeg (2)]:[VP 2]],7,FALSE))</f>
        <v>3.1999999999999993</v>
      </c>
      <c r="R46" s="23">
        <f xml:space="preserve"> IFERROR(VLOOKUP(TBL_Rank[[#This Row],[Team Naam]],TBL_S5[["Thuis" ploeg (1)]:[VP 2]],8,FALSE), VLOOKUP(TBL_Rank[[#This Row],[Team Naam]],TBL_S5[["Uit" ploeg (2)]:[VP 2]],7,FALSE))</f>
        <v>2.1000000000000014</v>
      </c>
      <c r="S46" s="23">
        <f xml:space="preserve"> IFERROR(VLOOKUP(TBL_Rank[[#This Row],[Team Naam]],TBL_S6[["Thuis" ploeg (1)]:[VP 2]],8,FALSE), VLOOKUP(TBL_Rank[[#This Row],[Team Naam]],TBL_S6[["Uit" ploeg (2)]:[VP 2]],7,FALSE))</f>
        <v>7.93</v>
      </c>
      <c r="T46" s="23">
        <f xml:space="preserve"> IFERROR(VLOOKUP(TBL_Rank[[#This Row],[Team Naam]],TBL_S7[["Thuis" ploeg (1)]:[VP 2]],8,FALSE), VLOOKUP(TBL_Rank[[#This Row],[Team Naam]],TBL_S7[["Uit" ploeg (2)]:[VP 2]],7,FALSE))</f>
        <v>5.8000000000000007</v>
      </c>
      <c r="U46" s="74">
        <f xml:space="preserve"> IFERROR(VLOOKUP(TBL_Rank[[#This Row],[Team Naam]],TBL_S8[["Thuis" ploeg (1)]:[VP 2]],8,FALSE), VLOOKUP(TBL_Rank[[#This Row],[Team Naam]],TBL_S8[["Uit" ploeg (2)]:[VP 2]],7,FALSE))</f>
        <v>6.59</v>
      </c>
    </row>
    <row r="47" spans="2:21" x14ac:dyDescent="0.3">
      <c r="B47" s="72">
        <v>44</v>
      </c>
      <c r="C47" s="91">
        <v>8</v>
      </c>
      <c r="D47" s="95" t="str">
        <f xml:space="preserve"> VLOOKUP(TBL_Rank[[#This Row],[Team Nr]],TBL_Team[],2,FALSE)</f>
        <v>Tom Pousse</v>
      </c>
      <c r="E47" s="101">
        <f xml:space="preserve"> SUM(TBL_Rank[[#This Row],[Speeldag 1]:[Speeldag 8]])</f>
        <v>56.59</v>
      </c>
      <c r="F47" s="66">
        <f xml:space="preserve"> IFERROR(VLOOKUP(TBL_Rank[[#This Row],[Team Nr]],TBL_S1[[Nr 1]:[Nr 2]],5,FALSE), INDEX(TBL_S1[Nr 1], MATCH(TBL_Rank[[#This Row],[Team Nr]],TBL_S1[Nr 2],0)))</f>
        <v>18</v>
      </c>
      <c r="G47" s="65">
        <f xml:space="preserve"> IFERROR(VLOOKUP(TBL_Rank[[#This Row],[Team Nr]],TBL_S2[[Nr 1]:[Nr 2]],5,FALSE), INDEX(TBL_S2[Nr 1], MATCH(TBL_Rank[[#This Row],[Team Nr]],TBL_S2[Nr 2],0)))</f>
        <v>35</v>
      </c>
      <c r="H47" s="66">
        <f xml:space="preserve"> IFERROR(VLOOKUP(TBL_Rank[[#This Row],[Team Nr]],TBL_S3[[Nr 1]:[Nr 2]],5,FALSE), INDEX(TBL_S3[Nr 1], MATCH(TBL_Rank[[#This Row],[Team Nr]],TBL_S3[Nr 2],0)))</f>
        <v>6</v>
      </c>
      <c r="I47" s="65">
        <f xml:space="preserve"> IFERROR(VLOOKUP(TBL_Rank[[#This Row],[Team Nr]],TBL_S4[[Nr 1]:[Nr 2]],5,FALSE), INDEX(TBL_S4[Nr 1], MATCH(TBL_Rank[[#This Row],[Team Nr]],TBL_S4[Nr 2],0)))</f>
        <v>43</v>
      </c>
      <c r="J47" s="65">
        <f xml:space="preserve"> IFERROR(VLOOKUP(TBL_Rank[[#This Row],[Team Nr]],TBL_S5[[Nr 1]:[Nr 2]],5,FALSE), INDEX(TBL_S5[Nr 1], MATCH(TBL_Rank[[#This Row],[Team Nr]],TBL_S5[Nr 2],0)))</f>
        <v>15</v>
      </c>
      <c r="K47" s="66">
        <f xml:space="preserve"> IFERROR(VLOOKUP(TBL_Rank[[#This Row],[Team Nr]],TBL_S6[[Nr 1]:[Nr 2]],5,FALSE), INDEX(TBL_S6[Nr 1], MATCH(TBL_Rank[[#This Row],[Team Nr]],TBL_S6[Nr 2],0)))</f>
        <v>12</v>
      </c>
      <c r="L47" s="67">
        <f xml:space="preserve"> IFERROR(VLOOKUP(TBL_Rank[[#This Row],[Team Nr]],TBL_S7[[Nr 1]:[Nr 2]],5,FALSE), INDEX(TBL_S7[Nr 1], MATCH(TBL_Rank[[#This Row],[Team Nr]],TBL_S7[Nr 2],0)))</f>
        <v>41</v>
      </c>
      <c r="M47" s="68">
        <f xml:space="preserve"> IFERROR(VLOOKUP(TBL_Rank[[#This Row],[Team Nr]],TBL_S8[[Nr 1]:[Nr 2]],5,FALSE), INDEX(TBL_S8[Nr 1], MATCH(TBL_Rank[[#This Row],[Team Nr]],TBL_S8[Nr 2],0)))</f>
        <v>10</v>
      </c>
      <c r="N47" s="96">
        <f xml:space="preserve"> IFERROR(VLOOKUP(TBL_Rank[[#This Row],[Team Naam]],TBL_S1[["Thuis" ploeg (1)]:[VP 2]],8,FALSE), VLOOKUP(TBL_Rank[[#This Row],[Team Naam]],TBL_S1[["Uit" ploeg (2)]:[VP 2]],7,FALSE))</f>
        <v>12.3</v>
      </c>
      <c r="O47" s="23">
        <f xml:space="preserve"> IFERROR(VLOOKUP(TBL_Rank[[#This Row],[Team Naam]],TBL_S2[["Thuis" ploeg (1)]:[VP 2]],8,FALSE), VLOOKUP(TBL_Rank[[#This Row],[Team Naam]],TBL_S2[["Uit" ploeg (2)]:[VP 2]],7,FALSE))</f>
        <v>0</v>
      </c>
      <c r="P47" s="23">
        <f xml:space="preserve"> IFERROR(VLOOKUP(TBL_Rank[[#This Row],[Team Naam]],TBL_S3[["Thuis" ploeg (1)]:[VP 2]],8,FALSE), VLOOKUP(TBL_Rank[[#This Row],[Team Naam]],TBL_S3[["Uit" ploeg (2)]:[VP 2]],7,FALSE))</f>
        <v>0</v>
      </c>
      <c r="Q47" s="23">
        <f xml:space="preserve"> IFERROR(VLOOKUP(TBL_Rank[[#This Row],[Team Naam]],TBL_S4[["Thuis" ploeg (1)]:[VP 2]],8,FALSE), VLOOKUP(TBL_Rank[[#This Row],[Team Naam]],TBL_S4[["Uit" ploeg (2)]:[VP 2]],7,FALSE))</f>
        <v>8.66</v>
      </c>
      <c r="R47" s="23">
        <f xml:space="preserve"> IFERROR(VLOOKUP(TBL_Rank[[#This Row],[Team Naam]],TBL_S5[["Thuis" ploeg (1)]:[VP 2]],8,FALSE), VLOOKUP(TBL_Rank[[#This Row],[Team Naam]],TBL_S5[["Uit" ploeg (2)]:[VP 2]],7,FALSE))</f>
        <v>7.6999999999999993</v>
      </c>
      <c r="S47" s="23">
        <f xml:space="preserve"> IFERROR(VLOOKUP(TBL_Rank[[#This Row],[Team Naam]],TBL_S6[["Thuis" ploeg (1)]:[VP 2]],8,FALSE), VLOOKUP(TBL_Rank[[#This Row],[Team Naam]],TBL_S6[["Uit" ploeg (2)]:[VP 2]],7,FALSE))</f>
        <v>2.4400000000000013</v>
      </c>
      <c r="T47" s="23">
        <f xml:space="preserve"> IFERROR(VLOOKUP(TBL_Rank[[#This Row],[Team Naam]],TBL_S7[["Thuis" ploeg (1)]:[VP 2]],8,FALSE), VLOOKUP(TBL_Rank[[#This Row],[Team Naam]],TBL_S7[["Uit" ploeg (2)]:[VP 2]],7,FALSE))</f>
        <v>17.79</v>
      </c>
      <c r="U47" s="74">
        <f xml:space="preserve"> IFERROR(VLOOKUP(TBL_Rank[[#This Row],[Team Naam]],TBL_S8[["Thuis" ploeg (1)]:[VP 2]],8,FALSE), VLOOKUP(TBL_Rank[[#This Row],[Team Naam]],TBL_S8[["Uit" ploeg (2)]:[VP 2]],7,FALSE))</f>
        <v>7.6999999999999993</v>
      </c>
    </row>
    <row r="48" spans="2:21" x14ac:dyDescent="0.3">
      <c r="B48" s="72">
        <v>45</v>
      </c>
      <c r="C48" s="91">
        <v>15</v>
      </c>
      <c r="D48" s="92" t="str">
        <f xml:space="preserve"> VLOOKUP(TBL_Rank[[#This Row],[Team Nr]],TBL_Team[],2,FALSE)</f>
        <v>Sandeman 5</v>
      </c>
      <c r="E48" s="101">
        <f xml:space="preserve"> SUM(TBL_Rank[[#This Row],[Speeldag 1]:[Speeldag 8]])</f>
        <v>47.640000000000008</v>
      </c>
      <c r="F48" s="68">
        <f xml:space="preserve"> IFERROR(VLOOKUP(TBL_Rank[[#This Row],[Team Nr]],TBL_S1[[Nr 1]:[Nr 2]],5,FALSE), INDEX(TBL_S1[Nr 1], MATCH(TBL_Rank[[#This Row],[Team Nr]],TBL_S1[Nr 2],0)))</f>
        <v>28</v>
      </c>
      <c r="G48" s="67">
        <f xml:space="preserve"> IFERROR(VLOOKUP(TBL_Rank[[#This Row],[Team Nr]],TBL_S2[[Nr 1]:[Nr 2]],5,FALSE), INDEX(TBL_S2[Nr 1], MATCH(TBL_Rank[[#This Row],[Team Nr]],TBL_S2[Nr 2],0)))</f>
        <v>21</v>
      </c>
      <c r="H48" s="68">
        <f xml:space="preserve"> IFERROR(VLOOKUP(TBL_Rank[[#This Row],[Team Nr]],TBL_S3[[Nr 1]:[Nr 2]],5,FALSE), INDEX(TBL_S3[Nr 1], MATCH(TBL_Rank[[#This Row],[Team Nr]],TBL_S3[Nr 2],0)))</f>
        <v>9</v>
      </c>
      <c r="I48" s="67">
        <f xml:space="preserve"> IFERROR(VLOOKUP(TBL_Rank[[#This Row],[Team Nr]],TBL_S4[[Nr 1]:[Nr 2]],5,FALSE), INDEX(TBL_S4[Nr 1], MATCH(TBL_Rank[[#This Row],[Team Nr]],TBL_S4[Nr 2],0)))</f>
        <v>41</v>
      </c>
      <c r="J48" s="67">
        <f xml:space="preserve"> IFERROR(VLOOKUP(TBL_Rank[[#This Row],[Team Nr]],TBL_S5[[Nr 1]:[Nr 2]],5,FALSE), INDEX(TBL_S5[Nr 1], MATCH(TBL_Rank[[#This Row],[Team Nr]],TBL_S5[Nr 2],0)))</f>
        <v>8</v>
      </c>
      <c r="K48" s="66">
        <f xml:space="preserve"> IFERROR(VLOOKUP(TBL_Rank[[#This Row],[Team Nr]],TBL_S6[[Nr 1]:[Nr 2]],5,FALSE), INDEX(TBL_S6[Nr 1], MATCH(TBL_Rank[[#This Row],[Team Nr]],TBL_S6[Nr 2],0)))</f>
        <v>44</v>
      </c>
      <c r="L48" s="67">
        <f xml:space="preserve"> IFERROR(VLOOKUP(TBL_Rank[[#This Row],[Team Nr]],TBL_S7[[Nr 1]:[Nr 2]],5,FALSE), INDEX(TBL_S7[Nr 1], MATCH(TBL_Rank[[#This Row],[Team Nr]],TBL_S7[Nr 2],0)))</f>
        <v>43</v>
      </c>
      <c r="M48" s="68">
        <f xml:space="preserve"> IFERROR(VLOOKUP(TBL_Rank[[#This Row],[Team Nr]],TBL_S8[[Nr 1]:[Nr 2]],5,FALSE), INDEX(TBL_S8[Nr 1], MATCH(TBL_Rank[[#This Row],[Team Nr]],TBL_S8[Nr 2],0)))</f>
        <v>38</v>
      </c>
      <c r="N48" s="96">
        <f xml:space="preserve"> IFERROR(VLOOKUP(TBL_Rank[[#This Row],[Team Naam]],TBL_S1[["Thuis" ploeg (1)]:[VP 2]],8,FALSE), VLOOKUP(TBL_Rank[[#This Row],[Team Naam]],TBL_S1[["Uit" ploeg (2)]:[VP 2]],7,FALSE))</f>
        <v>2.2100000000000009</v>
      </c>
      <c r="O48" s="23">
        <f xml:space="preserve"> IFERROR(VLOOKUP(TBL_Rank[[#This Row],[Team Naam]],TBL_S2[["Thuis" ploeg (1)]:[VP 2]],8,FALSE), VLOOKUP(TBL_Rank[[#This Row],[Team Naam]],TBL_S2[["Uit" ploeg (2)]:[VP 2]],7,FALSE))</f>
        <v>0.28000000000000114</v>
      </c>
      <c r="P48" s="23">
        <f xml:space="preserve"> IFERROR(VLOOKUP(TBL_Rank[[#This Row],[Team Naam]],TBL_S3[["Thuis" ploeg (1)]:[VP 2]],8,FALSE), VLOOKUP(TBL_Rank[[#This Row],[Team Naam]],TBL_S3[["Uit" ploeg (2)]:[VP 2]],7,FALSE))</f>
        <v>5.24</v>
      </c>
      <c r="Q48" s="23">
        <f xml:space="preserve"> IFERROR(VLOOKUP(TBL_Rank[[#This Row],[Team Naam]],TBL_S4[["Thuis" ploeg (1)]:[VP 2]],8,FALSE), VLOOKUP(TBL_Rank[[#This Row],[Team Naam]],TBL_S4[["Uit" ploeg (2)]:[VP 2]],7,FALSE))</f>
        <v>3.620000000000001</v>
      </c>
      <c r="R48" s="23">
        <f xml:space="preserve"> IFERROR(VLOOKUP(TBL_Rank[[#This Row],[Team Naam]],TBL_S5[["Thuis" ploeg (1)]:[VP 2]],8,FALSE), VLOOKUP(TBL_Rank[[#This Row],[Team Naam]],TBL_S5[["Uit" ploeg (2)]:[VP 2]],7,FALSE))</f>
        <v>12.3</v>
      </c>
      <c r="S48" s="23">
        <f xml:space="preserve"> IFERROR(VLOOKUP(TBL_Rank[[#This Row],[Team Naam]],TBL_S6[["Thuis" ploeg (1)]:[VP 2]],8,FALSE), VLOOKUP(TBL_Rank[[#This Row],[Team Naam]],TBL_S6[["Uit" ploeg (2)]:[VP 2]],7,FALSE))</f>
        <v>11.34</v>
      </c>
      <c r="T48" s="23">
        <f xml:space="preserve"> IFERROR(VLOOKUP(TBL_Rank[[#This Row],[Team Naam]],TBL_S7[["Thuis" ploeg (1)]:[VP 2]],8,FALSE), VLOOKUP(TBL_Rank[[#This Row],[Team Naam]],TBL_S7[["Uit" ploeg (2)]:[VP 2]],7,FALSE))</f>
        <v>7.93</v>
      </c>
      <c r="U48" s="74">
        <f xml:space="preserve"> IFERROR(VLOOKUP(TBL_Rank[[#This Row],[Team Naam]],TBL_S8[["Thuis" ploeg (1)]:[VP 2]],8,FALSE), VLOOKUP(TBL_Rank[[#This Row],[Team Naam]],TBL_S8[["Uit" ploeg (2)]:[VP 2]],7,FALSE))</f>
        <v>4.7200000000000006</v>
      </c>
    </row>
    <row r="49" spans="2:21" x14ac:dyDescent="0.3">
      <c r="B49" s="72">
        <v>46</v>
      </c>
      <c r="C49" s="91">
        <v>41</v>
      </c>
      <c r="D49" s="92" t="str">
        <f xml:space="preserve"> VLOOKUP(TBL_Rank[[#This Row],[Team Nr]],TBL_Team[],2,FALSE)</f>
        <v>Sandeman7</v>
      </c>
      <c r="E49" s="101">
        <f xml:space="preserve"> SUM(TBL_Rank[[#This Row],[Speeldag 1]:[Speeldag 8]])</f>
        <v>36.340000000000003</v>
      </c>
      <c r="F49" s="68">
        <f xml:space="preserve"> IFERROR(VLOOKUP(TBL_Rank[[#This Row],[Team Nr]],TBL_S1[[Nr 1]:[Nr 2]],5,FALSE), INDEX(TBL_S1[Nr 1], MATCH(TBL_Rank[[#This Row],[Team Nr]],TBL_S1[Nr 2],0)))</f>
        <v>13</v>
      </c>
      <c r="G49" s="67">
        <f xml:space="preserve"> IFERROR(VLOOKUP(TBL_Rank[[#This Row],[Team Nr]],TBL_S2[[Nr 1]:[Nr 2]],5,FALSE), INDEX(TBL_S2[Nr 1], MATCH(TBL_Rank[[#This Row],[Team Nr]],TBL_S2[Nr 2],0)))</f>
        <v>11</v>
      </c>
      <c r="H49" s="68">
        <f xml:space="preserve"> IFERROR(VLOOKUP(TBL_Rank[[#This Row],[Team Nr]],TBL_S3[[Nr 1]:[Nr 2]],5,FALSE), INDEX(TBL_S3[Nr 1], MATCH(TBL_Rank[[#This Row],[Team Nr]],TBL_S3[Nr 2],0)))</f>
        <v>12</v>
      </c>
      <c r="I49" s="67">
        <f xml:space="preserve"> IFERROR(VLOOKUP(TBL_Rank[[#This Row],[Team Nr]],TBL_S4[[Nr 1]:[Nr 2]],5,FALSE), INDEX(TBL_S4[Nr 1], MATCH(TBL_Rank[[#This Row],[Team Nr]],TBL_S4[Nr 2],0)))</f>
        <v>15</v>
      </c>
      <c r="J49" s="67">
        <f xml:space="preserve"> IFERROR(VLOOKUP(TBL_Rank[[#This Row],[Team Nr]],TBL_S5[[Nr 1]:[Nr 2]],5,FALSE), INDEX(TBL_S5[Nr 1], MATCH(TBL_Rank[[#This Row],[Team Nr]],TBL_S5[Nr 2],0)))</f>
        <v>25</v>
      </c>
      <c r="K49" s="66">
        <f xml:space="preserve"> IFERROR(VLOOKUP(TBL_Rank[[#This Row],[Team Nr]],TBL_S6[[Nr 1]:[Nr 2]],5,FALSE), INDEX(TBL_S6[Nr 1], MATCH(TBL_Rank[[#This Row],[Team Nr]],TBL_S6[Nr 2],0)))</f>
        <v>43</v>
      </c>
      <c r="L49" s="67">
        <f xml:space="preserve"> IFERROR(VLOOKUP(TBL_Rank[[#This Row],[Team Nr]],TBL_S7[[Nr 1]:[Nr 2]],5,FALSE), INDEX(TBL_S7[Nr 1], MATCH(TBL_Rank[[#This Row],[Team Nr]],TBL_S7[Nr 2],0)))</f>
        <v>8</v>
      </c>
      <c r="M49" s="68">
        <f xml:space="preserve"> IFERROR(VLOOKUP(TBL_Rank[[#This Row],[Team Nr]],TBL_S8[[Nr 1]:[Nr 2]],5,FALSE), INDEX(TBL_S8[Nr 1], MATCH(TBL_Rank[[#This Row],[Team Nr]],TBL_S8[Nr 2],0)))</f>
        <v>44</v>
      </c>
      <c r="N49" s="96">
        <f xml:space="preserve"> IFERROR(VLOOKUP(TBL_Rank[[#This Row],[Team Naam]],TBL_S1[["Thuis" ploeg (1)]:[VP 2]],8,FALSE), VLOOKUP(TBL_Rank[[#This Row],[Team Naam]],TBL_S1[["Uit" ploeg (2)]:[VP 2]],7,FALSE))</f>
        <v>3.4800000000000004</v>
      </c>
      <c r="O49" s="57">
        <f xml:space="preserve"> IFERROR(VLOOKUP(TBL_Rank[[#This Row],[Team Naam]],TBL_S2[["Thuis" ploeg (1)]:[VP 2]],8,FALSE), VLOOKUP(TBL_Rank[[#This Row],[Team Naam]],TBL_S2[["Uit" ploeg (2)]:[VP 2]],7,FALSE))</f>
        <v>3.34</v>
      </c>
      <c r="P49" s="57">
        <f xml:space="preserve"> IFERROR(VLOOKUP(TBL_Rank[[#This Row],[Team Naam]],TBL_S3[["Thuis" ploeg (1)]:[VP 2]],8,FALSE), VLOOKUP(TBL_Rank[[#This Row],[Team Naam]],TBL_S3[["Uit" ploeg (2)]:[VP 2]],7,FALSE))</f>
        <v>1.7699999999999996</v>
      </c>
      <c r="Q49" s="57">
        <f xml:space="preserve"> IFERROR(VLOOKUP(TBL_Rank[[#This Row],[Team Naam]],TBL_S4[["Thuis" ploeg (1)]:[VP 2]],8,FALSE), VLOOKUP(TBL_Rank[[#This Row],[Team Naam]],TBL_S4[["Uit" ploeg (2)]:[VP 2]],7,FALSE))</f>
        <v>16.38</v>
      </c>
      <c r="R49" s="57">
        <f xml:space="preserve"> IFERROR(VLOOKUP(TBL_Rank[[#This Row],[Team Naam]],TBL_S5[["Thuis" ploeg (1)]:[VP 2]],8,FALSE), VLOOKUP(TBL_Rank[[#This Row],[Team Naam]],TBL_S5[["Uit" ploeg (2)]:[VP 2]],7,FALSE))</f>
        <v>5.24</v>
      </c>
      <c r="S49" s="57">
        <f xml:space="preserve"> IFERROR(VLOOKUP(TBL_Rank[[#This Row],[Team Naam]],TBL_S6[["Thuis" ploeg (1)]:[VP 2]],8,FALSE), VLOOKUP(TBL_Rank[[#This Row],[Team Naam]],TBL_S6[["Uit" ploeg (2)]:[VP 2]],7,FALSE))</f>
        <v>3.9200000000000017</v>
      </c>
      <c r="T49" s="57">
        <f xml:space="preserve"> IFERROR(VLOOKUP(TBL_Rank[[#This Row],[Team Naam]],TBL_S7[["Thuis" ploeg (1)]:[VP 2]],8,FALSE), VLOOKUP(TBL_Rank[[#This Row],[Team Naam]],TBL_S7[["Uit" ploeg (2)]:[VP 2]],7,FALSE))</f>
        <v>2.2100000000000009</v>
      </c>
      <c r="U49" s="75">
        <f xml:space="preserve"> IFERROR(VLOOKUP(TBL_Rank[[#This Row],[Team Naam]],TBL_S8[["Thuis" ploeg (1)]:[VP 2]],8,FALSE), VLOOKUP(TBL_Rank[[#This Row],[Team Naam]],TBL_S8[["Uit" ploeg (2)]:[VP 2]],7,FALSE))</f>
        <v>0</v>
      </c>
    </row>
  </sheetData>
  <phoneticPr fontId="1" type="noConversion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701CB-A2CE-4019-BCA8-1E43CD2F2612}">
  <dimension ref="B3:K29"/>
  <sheetViews>
    <sheetView topLeftCell="A4" workbookViewId="0">
      <selection activeCell="G22" sqref="G22"/>
    </sheetView>
  </sheetViews>
  <sheetFormatPr defaultColWidth="9.33203125" defaultRowHeight="14.4" x14ac:dyDescent="0.3"/>
  <cols>
    <col min="2" max="2" width="4.88671875" bestFit="1" customWidth="1"/>
    <col min="3" max="3" width="31.6640625" customWidth="1"/>
    <col min="4" max="4" width="2.88671875" bestFit="1" customWidth="1"/>
    <col min="5" max="5" width="31.664062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9" customFormat="1" ht="15.6" x14ac:dyDescent="0.3">
      <c r="B3" s="8" t="s">
        <v>702</v>
      </c>
      <c r="C3" s="8" t="s">
        <v>704</v>
      </c>
      <c r="D3" s="8" t="s">
        <v>5</v>
      </c>
      <c r="E3" s="8" t="s">
        <v>705</v>
      </c>
      <c r="F3" s="8" t="s">
        <v>703</v>
      </c>
      <c r="G3" s="24" t="s">
        <v>0</v>
      </c>
      <c r="H3" s="25" t="s">
        <v>1</v>
      </c>
      <c r="I3" s="61" t="s">
        <v>4</v>
      </c>
      <c r="J3" s="58" t="s">
        <v>2</v>
      </c>
      <c r="K3" s="58" t="s">
        <v>3</v>
      </c>
    </row>
    <row r="4" spans="2:11" s="9" customFormat="1" ht="15.6" x14ac:dyDescent="0.3">
      <c r="B4" s="82"/>
      <c r="C4" s="85" t="s">
        <v>751</v>
      </c>
      <c r="D4" s="84"/>
      <c r="E4" s="83"/>
      <c r="F4" s="82"/>
      <c r="G4" s="77"/>
      <c r="H4" s="78"/>
      <c r="I4" s="79"/>
      <c r="J4" s="80"/>
      <c r="K4" s="81"/>
    </row>
    <row r="5" spans="2:11" x14ac:dyDescent="0.3">
      <c r="B5" s="70">
        <v>16</v>
      </c>
      <c r="C5" s="2" t="str">
        <f>VLOOKUP(TBL_S8[[#This Row],[Nr 1]],TBL_Team[],2,FALSE)</f>
        <v>Waasmunster 1</v>
      </c>
      <c r="D5" s="2" t="s">
        <v>6</v>
      </c>
      <c r="E5" s="2" t="str">
        <f>VLOOKUP(TBL_S8[[#This Row],[Nr 2]],TBL_Team[],2,FALSE)</f>
        <v>Roeselare 2</v>
      </c>
      <c r="F5" s="70">
        <v>22</v>
      </c>
      <c r="G5" s="27">
        <v>48</v>
      </c>
      <c r="H5" s="28">
        <v>18</v>
      </c>
      <c r="I5" s="62">
        <f xml:space="preserve"> ABS(TBL_S8[[#This Row],[IMP 2]]-TBL_S8[[#This Row],[IMP 1]])</f>
        <v>30</v>
      </c>
      <c r="J5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16.23</v>
      </c>
      <c r="K5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3.7699999999999996</v>
      </c>
    </row>
    <row r="6" spans="2:11" ht="15.6" x14ac:dyDescent="0.3">
      <c r="B6" s="82"/>
      <c r="C6" s="85" t="s">
        <v>752</v>
      </c>
      <c r="D6" s="84"/>
      <c r="E6" s="83"/>
      <c r="F6" s="82"/>
      <c r="G6" s="77"/>
      <c r="H6" s="78"/>
      <c r="I6" s="79"/>
      <c r="J6" s="80"/>
      <c r="K6" s="81"/>
    </row>
    <row r="7" spans="2:11" x14ac:dyDescent="0.3">
      <c r="B7" s="70">
        <v>6</v>
      </c>
      <c r="C7" s="2" t="str">
        <f>VLOOKUP(TBL_S8[[#This Row],[Nr 1]],TBL_Team[],2,FALSE)</f>
        <v>Boeckenberg 2</v>
      </c>
      <c r="D7" s="2" t="s">
        <v>6</v>
      </c>
      <c r="E7" s="2" t="str">
        <f>VLOOKUP(TBL_S8[[#This Row],[Nr 2]],TBL_Team[],2,FALSE)</f>
        <v>Forum 3</v>
      </c>
      <c r="F7" s="70">
        <v>32</v>
      </c>
      <c r="G7" s="27">
        <v>12</v>
      </c>
      <c r="H7" s="28">
        <v>79</v>
      </c>
      <c r="I7" s="62">
        <f xml:space="preserve"> ABS(TBL_S8[[#This Row],[IMP 2]]-TBL_S8[[#This Row],[IMP 1]])</f>
        <v>67</v>
      </c>
      <c r="J7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1.0000000000001563E-2</v>
      </c>
      <c r="K7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19.989999999999998</v>
      </c>
    </row>
    <row r="8" spans="2:11" ht="15.6" x14ac:dyDescent="0.3">
      <c r="B8" s="82"/>
      <c r="C8" s="85" t="s">
        <v>736</v>
      </c>
      <c r="D8" s="84"/>
      <c r="E8" s="83"/>
      <c r="F8" s="82"/>
      <c r="G8" s="77"/>
      <c r="H8" s="78"/>
      <c r="I8" s="79"/>
      <c r="J8" s="80"/>
      <c r="K8" s="81"/>
    </row>
    <row r="9" spans="2:11" x14ac:dyDescent="0.3">
      <c r="B9" s="70">
        <v>19</v>
      </c>
      <c r="C9" s="2" t="str">
        <f>VLOOKUP(TBL_S8[[#This Row],[Nr 1]],TBL_Team[],2,FALSE)</f>
        <v>Bee 1</v>
      </c>
      <c r="D9" s="2" t="s">
        <v>6</v>
      </c>
      <c r="E9" s="2" t="str">
        <f>VLOOKUP(TBL_S8[[#This Row],[Nr 2]],TBL_Team[],2,FALSE)</f>
        <v>REGENBOOG</v>
      </c>
      <c r="F9" s="70">
        <v>37</v>
      </c>
      <c r="G9" s="27">
        <v>56</v>
      </c>
      <c r="H9" s="28">
        <v>23</v>
      </c>
      <c r="I9" s="62">
        <f xml:space="preserve"> ABS(TBL_S8[[#This Row],[IMP 2]]-TBL_S8[[#This Row],[IMP 1]])</f>
        <v>33</v>
      </c>
      <c r="J9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16.66</v>
      </c>
      <c r="K9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3.34</v>
      </c>
    </row>
    <row r="10" spans="2:11" x14ac:dyDescent="0.3">
      <c r="B10" s="70">
        <v>7</v>
      </c>
      <c r="C10" s="2" t="str">
        <f>VLOOKUP(TBL_S8[[#This Row],[Nr 1]],TBL_Team[],2,FALSE)</f>
        <v>Riviera 9</v>
      </c>
      <c r="D10" s="2" t="s">
        <v>6</v>
      </c>
      <c r="E10" s="3" t="str">
        <f>VLOOKUP(TBL_S8[[#This Row],[Nr 2]],TBL_Team[],2,FALSE)</f>
        <v>ANPAROJO</v>
      </c>
      <c r="F10" s="70">
        <v>26</v>
      </c>
      <c r="G10" s="27">
        <v>23</v>
      </c>
      <c r="H10" s="28">
        <v>45</v>
      </c>
      <c r="I10" s="62">
        <f xml:space="preserve"> ABS(TBL_S8[[#This Row],[IMP 2]]-TBL_S8[[#This Row],[IMP 1]])</f>
        <v>22</v>
      </c>
      <c r="J10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5.0600000000000005</v>
      </c>
      <c r="K10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14.94</v>
      </c>
    </row>
    <row r="11" spans="2:11" x14ac:dyDescent="0.3">
      <c r="B11" s="70">
        <v>42</v>
      </c>
      <c r="C11" s="2" t="str">
        <f>VLOOKUP(TBL_S8[[#This Row],[Nr 1]],TBL_Team[],2,FALSE)</f>
        <v>Goldstar</v>
      </c>
      <c r="D11" s="2" t="s">
        <v>6</v>
      </c>
      <c r="E11" s="3" t="str">
        <f>VLOOKUP(TBL_S8[[#This Row],[Nr 2]],TBL_Team[],2,FALSE)</f>
        <v>W8ebeke</v>
      </c>
      <c r="F11" s="70">
        <v>40</v>
      </c>
      <c r="G11" s="27">
        <v>45</v>
      </c>
      <c r="H11" s="28">
        <v>35</v>
      </c>
      <c r="I11" s="62">
        <f xml:space="preserve"> ABS(TBL_S8[[#This Row],[IMP 2]]-TBL_S8[[#This Row],[IMP 1]])</f>
        <v>10</v>
      </c>
      <c r="J11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12.53</v>
      </c>
      <c r="K11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7.4700000000000006</v>
      </c>
    </row>
    <row r="12" spans="2:11" x14ac:dyDescent="0.3">
      <c r="B12" s="70">
        <v>21</v>
      </c>
      <c r="C12" s="2" t="str">
        <f>VLOOKUP(TBL_S8[[#This Row],[Nr 1]],TBL_Team[],2,FALSE)</f>
        <v>Bridgevrienden</v>
      </c>
      <c r="D12" s="2" t="s">
        <v>6</v>
      </c>
      <c r="E12" s="3" t="str">
        <f>VLOOKUP(TBL_S8[[#This Row],[Nr 2]],TBL_Team[],2,FALSE)</f>
        <v>G.L.A.M.</v>
      </c>
      <c r="F12" s="70">
        <v>2</v>
      </c>
      <c r="G12" s="27">
        <v>51</v>
      </c>
      <c r="H12" s="28">
        <v>31</v>
      </c>
      <c r="I12" s="62">
        <f xml:space="preserve"> ABS(TBL_S8[[#This Row],[IMP 2]]-TBL_S8[[#This Row],[IMP 1]])</f>
        <v>20</v>
      </c>
      <c r="J12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14.58</v>
      </c>
      <c r="K12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5.42</v>
      </c>
    </row>
    <row r="13" spans="2:11" x14ac:dyDescent="0.3">
      <c r="B13" s="70">
        <v>5</v>
      </c>
      <c r="C13" s="2" t="str">
        <f>VLOOKUP(TBL_S8[[#This Row],[Nr 1]],TBL_Team[],2,FALSE)</f>
        <v>De Wevers</v>
      </c>
      <c r="D13" s="2" t="s">
        <v>6</v>
      </c>
      <c r="E13" s="3" t="str">
        <f>VLOOKUP(TBL_S8[[#This Row],[Nr 2]],TBL_Team[],2,FALSE)</f>
        <v>Essense 2</v>
      </c>
      <c r="F13" s="70">
        <v>28</v>
      </c>
      <c r="G13" s="27">
        <v>30</v>
      </c>
      <c r="H13" s="28">
        <v>44</v>
      </c>
      <c r="I13" s="62">
        <f xml:space="preserve"> ABS(TBL_S8[[#This Row],[IMP 2]]-TBL_S8[[#This Row],[IMP 1]])</f>
        <v>14</v>
      </c>
      <c r="J13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6.59</v>
      </c>
      <c r="K13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13.41</v>
      </c>
    </row>
    <row r="14" spans="2:11" x14ac:dyDescent="0.3">
      <c r="B14" s="70">
        <v>46</v>
      </c>
      <c r="C14" s="2" t="str">
        <f>VLOOKUP(TBL_S8[[#This Row],[Nr 1]],TBL_Team[],2,FALSE)</f>
        <v>Pieterman 6</v>
      </c>
      <c r="D14" s="2" t="s">
        <v>6</v>
      </c>
      <c r="E14" s="2" t="str">
        <f>VLOOKUP(TBL_S8[[#This Row],[Nr 2]],TBL_Team[],2,FALSE)</f>
        <v>Heusden 4</v>
      </c>
      <c r="F14" s="70">
        <v>17</v>
      </c>
      <c r="G14" s="27">
        <v>19</v>
      </c>
      <c r="H14" s="28">
        <v>32</v>
      </c>
      <c r="I14" s="62">
        <f xml:space="preserve"> ABS(TBL_S8[[#This Row],[IMP 2]]-TBL_S8[[#This Row],[IMP 1]])</f>
        <v>13</v>
      </c>
      <c r="J14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6.8000000000000007</v>
      </c>
      <c r="K14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13.2</v>
      </c>
    </row>
    <row r="15" spans="2:11" x14ac:dyDescent="0.3">
      <c r="B15" s="70">
        <v>20</v>
      </c>
      <c r="C15" s="2" t="str">
        <f>VLOOKUP(TBL_S8[[#This Row],[Nr 1]],TBL_Team[],2,FALSE)</f>
        <v>Bee 2</v>
      </c>
      <c r="D15" s="2" t="s">
        <v>6</v>
      </c>
      <c r="E15" s="2" t="str">
        <f>VLOOKUP(TBL_S8[[#This Row],[Nr 2]],TBL_Team[],2,FALSE)</f>
        <v>De Schlemielen</v>
      </c>
      <c r="F15" s="70">
        <v>29</v>
      </c>
      <c r="G15" s="27">
        <v>73</v>
      </c>
      <c r="H15" s="28">
        <v>59</v>
      </c>
      <c r="I15" s="62">
        <f xml:space="preserve"> ABS(TBL_S8[[#This Row],[IMP 2]]-TBL_S8[[#This Row],[IMP 1]])</f>
        <v>14</v>
      </c>
      <c r="J15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13.41</v>
      </c>
      <c r="K15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6.59</v>
      </c>
    </row>
    <row r="16" spans="2:11" x14ac:dyDescent="0.3">
      <c r="B16" s="70">
        <v>11</v>
      </c>
      <c r="C16" s="2" t="str">
        <f>VLOOKUP(TBL_S8[[#This Row],[Nr 1]],TBL_Team[],2,FALSE)</f>
        <v>Sandeman 3</v>
      </c>
      <c r="D16" s="2" t="s">
        <v>6</v>
      </c>
      <c r="E16" s="2" t="str">
        <f>VLOOKUP(TBL_S8[[#This Row],[Nr 2]],TBL_Team[],2,FALSE)</f>
        <v>Geel 2</v>
      </c>
      <c r="F16" s="70">
        <v>3</v>
      </c>
      <c r="G16" s="27">
        <f xml:space="preserve"> 18+31</f>
        <v>49</v>
      </c>
      <c r="H16" s="28">
        <f xml:space="preserve"> 39+7</f>
        <v>46</v>
      </c>
      <c r="I16" s="62">
        <f xml:space="preserve"> ABS(TBL_S8[[#This Row],[IMP 2]]-TBL_S8[[#This Row],[IMP 1]])</f>
        <v>3</v>
      </c>
      <c r="J16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10.82</v>
      </c>
      <c r="K16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9.18</v>
      </c>
    </row>
    <row r="17" spans="2:11" x14ac:dyDescent="0.3">
      <c r="B17" s="70">
        <v>30</v>
      </c>
      <c r="C17" s="2" t="str">
        <f>VLOOKUP(TBL_S8[[#This Row],[Nr 1]],TBL_Team[],2,FALSE)</f>
        <v>Westrand 3</v>
      </c>
      <c r="D17" s="2" t="s">
        <v>6</v>
      </c>
      <c r="E17" s="2" t="str">
        <f>VLOOKUP(TBL_S8[[#This Row],[Nr 2]],TBL_Team[],2,FALSE)</f>
        <v>Heusden 3</v>
      </c>
      <c r="F17" s="70">
        <v>13</v>
      </c>
      <c r="G17" s="27">
        <v>40</v>
      </c>
      <c r="H17" s="28">
        <v>38</v>
      </c>
      <c r="I17" s="62">
        <f xml:space="preserve"> ABS(TBL_S8[[#This Row],[IMP 2]]-TBL_S8[[#This Row],[IMP 1]])</f>
        <v>2</v>
      </c>
      <c r="J17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10.55</v>
      </c>
      <c r="K17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9.4499999999999993</v>
      </c>
    </row>
    <row r="18" spans="2:11" x14ac:dyDescent="0.3">
      <c r="B18" s="70">
        <v>24</v>
      </c>
      <c r="C18" s="2" t="str">
        <f>VLOOKUP(TBL_S8[[#This Row],[Nr 1]],TBL_Team[],2,FALSE)</f>
        <v>Kollebloem Puurs</v>
      </c>
      <c r="D18" s="2" t="s">
        <v>6</v>
      </c>
      <c r="E18" s="2" t="str">
        <f>VLOOKUP(TBL_S8[[#This Row],[Nr 2]],TBL_Team[],2,FALSE)</f>
        <v>Edegem 2</v>
      </c>
      <c r="F18" s="70">
        <v>45</v>
      </c>
      <c r="G18" s="27">
        <v>35</v>
      </c>
      <c r="H18" s="28">
        <v>60</v>
      </c>
      <c r="I18" s="62">
        <f xml:space="preserve"> ABS(TBL_S8[[#This Row],[IMP 2]]-TBL_S8[[#This Row],[IMP 1]])</f>
        <v>25</v>
      </c>
      <c r="J18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4.5500000000000007</v>
      </c>
      <c r="K18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15.45</v>
      </c>
    </row>
    <row r="19" spans="2:11" x14ac:dyDescent="0.3">
      <c r="B19" s="70">
        <v>31</v>
      </c>
      <c r="C19" s="2" t="str">
        <f>VLOOKUP(TBL_S8[[#This Row],[Nr 1]],TBL_Team[],2,FALSE)</f>
        <v>DOWNAGAIN ?</v>
      </c>
      <c r="D19" s="2" t="s">
        <v>6</v>
      </c>
      <c r="E19" s="2" t="str">
        <f>VLOOKUP(TBL_S8[[#This Row],[Nr 2]],TBL_Team[],2,FALSE)</f>
        <v>Houtland</v>
      </c>
      <c r="F19" s="70">
        <v>35</v>
      </c>
      <c r="G19" s="27">
        <v>23</v>
      </c>
      <c r="H19" s="28">
        <v>61</v>
      </c>
      <c r="I19" s="62">
        <f xml:space="preserve"> ABS(TBL_S8[[#This Row],[IMP 2]]-TBL_S8[[#This Row],[IMP 1]])</f>
        <v>38</v>
      </c>
      <c r="J19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2.6799999999999997</v>
      </c>
      <c r="K19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17.32</v>
      </c>
    </row>
    <row r="20" spans="2:11" x14ac:dyDescent="0.3">
      <c r="B20" s="70">
        <v>23</v>
      </c>
      <c r="C20" s="2" t="str">
        <f>VLOOKUP(TBL_S8[[#This Row],[Nr 1]],TBL_Team[],2,FALSE)</f>
        <v>Heusden 2</v>
      </c>
      <c r="D20" s="2" t="s">
        <v>6</v>
      </c>
      <c r="E20" s="2" t="str">
        <f>VLOOKUP(TBL_S8[[#This Row],[Nr 2]],TBL_Team[],2,FALSE)</f>
        <v>Essense 1</v>
      </c>
      <c r="F20" s="70">
        <v>27</v>
      </c>
      <c r="G20" s="27">
        <v>47</v>
      </c>
      <c r="H20" s="28">
        <v>45</v>
      </c>
      <c r="I20" s="62">
        <f xml:space="preserve"> ABS(TBL_S8[[#This Row],[IMP 2]]-TBL_S8[[#This Row],[IMP 1]])</f>
        <v>2</v>
      </c>
      <c r="J20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10.55</v>
      </c>
      <c r="K20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9.4499999999999993</v>
      </c>
    </row>
    <row r="21" spans="2:11" x14ac:dyDescent="0.3">
      <c r="B21" s="70">
        <v>39</v>
      </c>
      <c r="C21" s="2" t="str">
        <f>VLOOKUP(TBL_S8[[#This Row],[Nr 1]],TBL_Team[],2,FALSE)</f>
        <v>De witte beren</v>
      </c>
      <c r="D21" s="2" t="s">
        <v>6</v>
      </c>
      <c r="E21" s="2" t="str">
        <f>VLOOKUP(TBL_S8[[#This Row],[Nr 2]],TBL_Team[],2,FALSE)</f>
        <v>MiMoDanan</v>
      </c>
      <c r="F21" s="70">
        <v>18</v>
      </c>
      <c r="G21" s="27">
        <v>70</v>
      </c>
      <c r="H21" s="28">
        <v>30</v>
      </c>
      <c r="I21" s="62">
        <f xml:space="preserve"> ABS(TBL_S8[[#This Row],[IMP 2]]-TBL_S8[[#This Row],[IMP 1]])</f>
        <v>40</v>
      </c>
      <c r="J21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17.559999999999999</v>
      </c>
      <c r="K21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2.4400000000000013</v>
      </c>
    </row>
    <row r="22" spans="2:11" x14ac:dyDescent="0.3">
      <c r="B22" s="70">
        <v>4</v>
      </c>
      <c r="C22" s="2" t="str">
        <f>VLOOKUP(TBL_S8[[#This Row],[Nr 1]],TBL_Team[],2,FALSE)</f>
        <v>De plankierkaarters</v>
      </c>
      <c r="D22" s="2" t="s">
        <v>6</v>
      </c>
      <c r="E22" s="2" t="str">
        <f>VLOOKUP(TBL_S8[[#This Row],[Nr 2]],TBL_Team[],2,FALSE)</f>
        <v>Nigranka</v>
      </c>
      <c r="F22" s="70">
        <v>33</v>
      </c>
      <c r="G22" s="27">
        <f xml:space="preserve"> 36+12</f>
        <v>48</v>
      </c>
      <c r="H22" s="28">
        <f xml:space="preserve"> 19+17</f>
        <v>36</v>
      </c>
      <c r="I22" s="62">
        <f xml:space="preserve"> ABS(TBL_S8[[#This Row],[IMP 2]]-TBL_S8[[#This Row],[IMP 1]])</f>
        <v>12</v>
      </c>
      <c r="J22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12.98</v>
      </c>
      <c r="K22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7.02</v>
      </c>
    </row>
    <row r="23" spans="2:11" x14ac:dyDescent="0.3">
      <c r="B23" s="70">
        <v>36</v>
      </c>
      <c r="C23" s="2" t="str">
        <f>VLOOKUP(TBL_S8[[#This Row],[Nr 1]],TBL_Team[],2,FALSE)</f>
        <v>Voer</v>
      </c>
      <c r="D23" s="2" t="s">
        <v>6</v>
      </c>
      <c r="E23" s="2" t="str">
        <f>VLOOKUP(TBL_S8[[#This Row],[Nr 2]],TBL_Team[],2,FALSE)</f>
        <v>Boeckenberg MK</v>
      </c>
      <c r="F23" s="70">
        <v>1</v>
      </c>
      <c r="G23" s="27">
        <v>85</v>
      </c>
      <c r="H23" s="28">
        <v>23</v>
      </c>
      <c r="I23" s="62">
        <f xml:space="preserve"> ABS(TBL_S8[[#This Row],[IMP 2]]-TBL_S8[[#This Row],[IMP 1]])</f>
        <v>62</v>
      </c>
      <c r="J23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19.649999999999999</v>
      </c>
      <c r="K23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0.35000000000000142</v>
      </c>
    </row>
    <row r="24" spans="2:11" x14ac:dyDescent="0.3">
      <c r="B24" s="70">
        <v>9</v>
      </c>
      <c r="C24" s="2" t="str">
        <f>VLOOKUP(TBL_S8[[#This Row],[Nr 1]],TBL_Team[],2,FALSE)</f>
        <v>De Cuatros</v>
      </c>
      <c r="D24" s="2" t="s">
        <v>6</v>
      </c>
      <c r="E24" s="2" t="str">
        <f>VLOOKUP(TBL_S8[[#This Row],[Nr 2]],TBL_Team[],2,FALSE)</f>
        <v>EBUROON 2</v>
      </c>
      <c r="F24" s="70">
        <v>34</v>
      </c>
      <c r="G24" s="27">
        <v>25</v>
      </c>
      <c r="H24" s="28">
        <v>50</v>
      </c>
      <c r="I24" s="62">
        <f xml:space="preserve"> ABS(TBL_S8[[#This Row],[IMP 2]]-TBL_S8[[#This Row],[IMP 1]])</f>
        <v>25</v>
      </c>
      <c r="J24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4.5500000000000007</v>
      </c>
      <c r="K24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15.45</v>
      </c>
    </row>
    <row r="25" spans="2:11" x14ac:dyDescent="0.3">
      <c r="B25" s="70">
        <v>12</v>
      </c>
      <c r="C25" s="2" t="str">
        <f>VLOOKUP(TBL_S8[[#This Row],[Nr 1]],TBL_Team[],2,FALSE)</f>
        <v>jeweetwelwie</v>
      </c>
      <c r="D25" s="2" t="s">
        <v>6</v>
      </c>
      <c r="E25" s="2" t="str">
        <f>VLOOKUP(TBL_S8[[#This Row],[Nr 2]],TBL_Team[],2,FALSE)</f>
        <v>Last minute</v>
      </c>
      <c r="F25" s="70">
        <v>43</v>
      </c>
      <c r="G25" s="27">
        <v>48</v>
      </c>
      <c r="H25" s="28">
        <v>23</v>
      </c>
      <c r="I25" s="62">
        <f xml:space="preserve"> ABS(TBL_S8[[#This Row],[IMP 2]]-TBL_S8[[#This Row],[IMP 1]])</f>
        <v>25</v>
      </c>
      <c r="J25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15.45</v>
      </c>
      <c r="K25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4.5500000000000007</v>
      </c>
    </row>
    <row r="26" spans="2:11" x14ac:dyDescent="0.3">
      <c r="B26" s="70">
        <v>14</v>
      </c>
      <c r="C26" s="2" t="str">
        <f>VLOOKUP(TBL_S8[[#This Row],[Nr 1]],TBL_Team[],2,FALSE)</f>
        <v>Waregem 5</v>
      </c>
      <c r="D26" s="2" t="s">
        <v>6</v>
      </c>
      <c r="E26" s="2" t="str">
        <f>VLOOKUP(TBL_S8[[#This Row],[Nr 2]],TBL_Team[],2,FALSE)</f>
        <v>Bree</v>
      </c>
      <c r="F26" s="70">
        <v>25</v>
      </c>
      <c r="G26" s="27">
        <v>22</v>
      </c>
      <c r="H26" s="28">
        <v>36</v>
      </c>
      <c r="I26" s="62">
        <f xml:space="preserve"> ABS(TBL_S8[[#This Row],[IMP 2]]-TBL_S8[[#This Row],[IMP 1]])</f>
        <v>14</v>
      </c>
      <c r="J26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6.59</v>
      </c>
      <c r="K26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13.41</v>
      </c>
    </row>
    <row r="27" spans="2:11" x14ac:dyDescent="0.3">
      <c r="B27" s="70">
        <v>10</v>
      </c>
      <c r="C27" s="2" t="str">
        <f>VLOOKUP(TBL_S8[[#This Row],[Nr 1]],TBL_Team[],2,FALSE)</f>
        <v>KATMOTTEPASSE</v>
      </c>
      <c r="D27" s="2" t="s">
        <v>6</v>
      </c>
      <c r="E27" s="2" t="str">
        <f>VLOOKUP(TBL_S8[[#This Row],[Nr 2]],TBL_Team[],2,FALSE)</f>
        <v>Tom Pousse</v>
      </c>
      <c r="F27" s="70">
        <v>8</v>
      </c>
      <c r="G27" s="27">
        <v>48</v>
      </c>
      <c r="H27" s="28">
        <v>39</v>
      </c>
      <c r="I27" s="62">
        <f xml:space="preserve"> ABS(TBL_S8[[#This Row],[IMP 2]]-TBL_S8[[#This Row],[IMP 1]])</f>
        <v>9</v>
      </c>
      <c r="J27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12.3</v>
      </c>
      <c r="K27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7.6999999999999993</v>
      </c>
    </row>
    <row r="28" spans="2:11" x14ac:dyDescent="0.3">
      <c r="B28" s="70">
        <v>38</v>
      </c>
      <c r="C28" s="2" t="str">
        <f>VLOOKUP(TBL_S8[[#This Row],[Nr 1]],TBL_Team[],2,FALSE)</f>
        <v>Sandeman 6</v>
      </c>
      <c r="D28" s="2" t="s">
        <v>6</v>
      </c>
      <c r="E28" s="2" t="str">
        <f>VLOOKUP(TBL_S8[[#This Row],[Nr 2]],TBL_Team[],2,FALSE)</f>
        <v>Sandeman 5</v>
      </c>
      <c r="F28" s="70">
        <v>15</v>
      </c>
      <c r="G28" s="27">
        <v>48</v>
      </c>
      <c r="H28" s="28">
        <v>24</v>
      </c>
      <c r="I28" s="62">
        <f xml:space="preserve"> ABS(TBL_S8[[#This Row],[IMP 2]]-TBL_S8[[#This Row],[IMP 1]])</f>
        <v>24</v>
      </c>
      <c r="J28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15.28</v>
      </c>
      <c r="K28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4.7200000000000006</v>
      </c>
    </row>
    <row r="29" spans="2:11" x14ac:dyDescent="0.3">
      <c r="B29" s="70">
        <v>44</v>
      </c>
      <c r="C29" s="2" t="str">
        <f>VLOOKUP(TBL_S8[[#This Row],[Nr 1]],TBL_Team[],2,FALSE)</f>
        <v>Edegem 1</v>
      </c>
      <c r="D29" s="2" t="s">
        <v>6</v>
      </c>
      <c r="E29" s="2" t="str">
        <f>VLOOKUP(TBL_S8[[#This Row],[Nr 2]],TBL_Team[],2,FALSE)</f>
        <v>Sandeman7</v>
      </c>
      <c r="F29" s="70">
        <v>41</v>
      </c>
      <c r="G29" s="27">
        <v>115</v>
      </c>
      <c r="H29" s="28">
        <v>10</v>
      </c>
      <c r="I29" s="62">
        <f xml:space="preserve"> ABS(TBL_S8[[#This Row],[IMP 2]]-TBL_S8[[#This Row],[IMP 1]])</f>
        <v>105</v>
      </c>
      <c r="J29" s="59">
        <f xml:space="preserve"> IF(ISBLANK(TBL_S8[[#This Row],[IMP 1]]), "", IF(TBL_S8[[#This Row],[IMP 1]]&gt;TBL_S8[[#This Row],[IMP 2]], VLOOKUP(TBL_S8[[#This Row],[IMP Diff]],TBL_VP[], 2, TRUE), VLOOKUP(TBL_S8[[#This Row],[IMP Diff]],TBL_VP[], 3, TRUE)))</f>
        <v>20</v>
      </c>
      <c r="K29" s="60">
        <f xml:space="preserve"> IF(ISBLANK(TBL_S8[[#This Row],[IMP 2]]), "", IF(TBL_S8[[#This Row],[IMP 2]]&gt;TBL_S8[[#This Row],[IMP 1]], VLOOKUP(TBL_S8[[#This Row],[IMP Diff]],TBL_VP[], 2, TRUE), VLOOKUP(TBL_S8[[#This Row],[IMP Diff]],TBL_VP[], 3, TRUE)))</f>
        <v>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225CD9-10CA-4196-B5FB-6F68DB6BE820}">
  <dimension ref="B3:K28"/>
  <sheetViews>
    <sheetView workbookViewId="0">
      <selection activeCell="I20" sqref="I20"/>
    </sheetView>
  </sheetViews>
  <sheetFormatPr defaultColWidth="9.33203125" defaultRowHeight="14.4" x14ac:dyDescent="0.3"/>
  <cols>
    <col min="2" max="2" width="4.88671875" bestFit="1" customWidth="1"/>
    <col min="3" max="3" width="31.6640625" customWidth="1"/>
    <col min="4" max="4" width="2.88671875" bestFit="1" customWidth="1"/>
    <col min="5" max="5" width="31.664062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9" customFormat="1" ht="15.6" x14ac:dyDescent="0.3">
      <c r="B3" s="8" t="s">
        <v>702</v>
      </c>
      <c r="C3" s="8" t="s">
        <v>704</v>
      </c>
      <c r="D3" s="8" t="s">
        <v>5</v>
      </c>
      <c r="E3" s="8" t="s">
        <v>705</v>
      </c>
      <c r="F3" s="8" t="s">
        <v>703</v>
      </c>
      <c r="G3" s="24" t="s">
        <v>0</v>
      </c>
      <c r="H3" s="25" t="s">
        <v>1</v>
      </c>
      <c r="I3" s="61" t="s">
        <v>4</v>
      </c>
      <c r="J3" s="58" t="s">
        <v>2</v>
      </c>
      <c r="K3" s="58" t="s">
        <v>3</v>
      </c>
    </row>
    <row r="4" spans="2:11" s="9" customFormat="1" ht="15.6" x14ac:dyDescent="0.3">
      <c r="B4" s="82"/>
      <c r="C4" s="85" t="s">
        <v>745</v>
      </c>
      <c r="D4" s="84"/>
      <c r="E4" s="83"/>
      <c r="F4" s="82"/>
      <c r="G4" s="77"/>
      <c r="H4" s="78"/>
      <c r="I4" s="79"/>
      <c r="J4" s="80"/>
      <c r="K4" s="81"/>
    </row>
    <row r="5" spans="2:11" x14ac:dyDescent="0.3">
      <c r="B5" s="70">
        <v>16</v>
      </c>
      <c r="C5" s="2" t="str">
        <f>VLOOKUP(TBL_S7[[#This Row],[Nr 1]],TBL_Team[],2,FALSE)</f>
        <v>Waasmunster 1</v>
      </c>
      <c r="D5" s="2" t="s">
        <v>6</v>
      </c>
      <c r="E5" s="2" t="str">
        <f>VLOOKUP(TBL_S7[[#This Row],[Nr 2]],TBL_Team[],2,FALSE)</f>
        <v>Boeckenberg 2</v>
      </c>
      <c r="F5" s="70">
        <v>6</v>
      </c>
      <c r="G5" s="27">
        <v>48</v>
      </c>
      <c r="H5" s="28">
        <v>43</v>
      </c>
      <c r="I5" s="62">
        <f xml:space="preserve"> ABS(TBL_S7[[#This Row],[IMP 2]]-TBL_S7[[#This Row],[IMP 1]])</f>
        <v>5</v>
      </c>
      <c r="J5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11.34</v>
      </c>
      <c r="K5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8.66</v>
      </c>
    </row>
    <row r="6" spans="2:11" x14ac:dyDescent="0.3">
      <c r="B6" s="70">
        <v>22</v>
      </c>
      <c r="C6" s="2" t="str">
        <f>VLOOKUP(TBL_S7[[#This Row],[Nr 1]],TBL_Team[],2,FALSE)</f>
        <v>Roeselare 2</v>
      </c>
      <c r="D6" s="2" t="s">
        <v>6</v>
      </c>
      <c r="E6" s="2" t="str">
        <f>VLOOKUP(TBL_S7[[#This Row],[Nr 2]],TBL_Team[],2,FALSE)</f>
        <v>Forum 3</v>
      </c>
      <c r="F6" s="70">
        <v>32</v>
      </c>
      <c r="G6" s="27">
        <v>72</v>
      </c>
      <c r="H6" s="28">
        <v>47</v>
      </c>
      <c r="I6" s="62">
        <f xml:space="preserve"> ABS(TBL_S7[[#This Row],[IMP 2]]-TBL_S7[[#This Row],[IMP 1]])</f>
        <v>25</v>
      </c>
      <c r="J6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15.45</v>
      </c>
      <c r="K6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4.5500000000000007</v>
      </c>
    </row>
    <row r="7" spans="2:11" ht="15.6" x14ac:dyDescent="0.3">
      <c r="B7" s="82"/>
      <c r="C7" s="85" t="s">
        <v>736</v>
      </c>
      <c r="D7" s="84"/>
      <c r="E7" s="83"/>
      <c r="F7" s="82"/>
      <c r="G7" s="77"/>
      <c r="H7" s="78"/>
      <c r="I7" s="79"/>
      <c r="J7" s="80"/>
      <c r="K7" s="81"/>
    </row>
    <row r="8" spans="2:11" x14ac:dyDescent="0.3">
      <c r="B8" s="70">
        <v>19</v>
      </c>
      <c r="C8" s="2" t="str">
        <f>VLOOKUP(TBL_S7[[#This Row],[Nr 1]],TBL_Team[],2,FALSE)</f>
        <v>Bee 1</v>
      </c>
      <c r="D8" s="2" t="s">
        <v>6</v>
      </c>
      <c r="E8" s="2" t="str">
        <f>VLOOKUP(TBL_S7[[#This Row],[Nr 2]],TBL_Team[],2,FALSE)</f>
        <v>Riviera 9</v>
      </c>
      <c r="F8" s="70">
        <v>7</v>
      </c>
      <c r="G8" s="27">
        <v>39</v>
      </c>
      <c r="H8" s="28">
        <v>49</v>
      </c>
      <c r="I8" s="62">
        <f xml:space="preserve"> ABS(TBL_S7[[#This Row],[IMP 2]]-TBL_S7[[#This Row],[IMP 1]])</f>
        <v>10</v>
      </c>
      <c r="J8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7.4700000000000006</v>
      </c>
      <c r="K8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12.53</v>
      </c>
    </row>
    <row r="9" spans="2:11" x14ac:dyDescent="0.3">
      <c r="B9" s="70">
        <v>42</v>
      </c>
      <c r="C9" s="2" t="str">
        <f>VLOOKUP(TBL_S7[[#This Row],[Nr 1]],TBL_Team[],2,FALSE)</f>
        <v>Goldstar</v>
      </c>
      <c r="D9" s="2" t="s">
        <v>6</v>
      </c>
      <c r="E9" s="3" t="str">
        <f>VLOOKUP(TBL_S7[[#This Row],[Nr 2]],TBL_Team[],2,FALSE)</f>
        <v>ANPAROJO</v>
      </c>
      <c r="F9" s="70">
        <v>26</v>
      </c>
      <c r="G9" s="27">
        <v>34</v>
      </c>
      <c r="H9" s="28">
        <v>55</v>
      </c>
      <c r="I9" s="62">
        <f xml:space="preserve"> ABS(TBL_S7[[#This Row],[IMP 2]]-TBL_S7[[#This Row],[IMP 1]])</f>
        <v>21</v>
      </c>
      <c r="J9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5.24</v>
      </c>
      <c r="K9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14.76</v>
      </c>
    </row>
    <row r="10" spans="2:11" x14ac:dyDescent="0.3">
      <c r="B10" s="70">
        <v>46</v>
      </c>
      <c r="C10" s="2" t="str">
        <f>VLOOKUP(TBL_S7[[#This Row],[Nr 1]],TBL_Team[],2,FALSE)</f>
        <v>Pieterman 6</v>
      </c>
      <c r="D10" s="2" t="s">
        <v>6</v>
      </c>
      <c r="E10" s="3" t="str">
        <f>VLOOKUP(TBL_S7[[#This Row],[Nr 2]],TBL_Team[],2,FALSE)</f>
        <v>REGENBOOG</v>
      </c>
      <c r="F10" s="70">
        <v>37</v>
      </c>
      <c r="G10" s="27">
        <v>33</v>
      </c>
      <c r="H10" s="28">
        <v>56</v>
      </c>
      <c r="I10" s="62">
        <f xml:space="preserve"> ABS(TBL_S7[[#This Row],[IMP 2]]-TBL_S7[[#This Row],[IMP 1]])</f>
        <v>23</v>
      </c>
      <c r="J10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4.8900000000000006</v>
      </c>
      <c r="K10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15.11</v>
      </c>
    </row>
    <row r="11" spans="2:11" x14ac:dyDescent="0.3">
      <c r="B11" s="70">
        <v>2</v>
      </c>
      <c r="C11" s="2" t="str">
        <f>VLOOKUP(TBL_S7[[#This Row],[Nr 1]],TBL_Team[],2,FALSE)</f>
        <v>G.L.A.M.</v>
      </c>
      <c r="D11" s="2" t="s">
        <v>6</v>
      </c>
      <c r="E11" s="3" t="str">
        <f>VLOOKUP(TBL_S7[[#This Row],[Nr 2]],TBL_Team[],2,FALSE)</f>
        <v>De Wevers</v>
      </c>
      <c r="F11" s="70">
        <v>5</v>
      </c>
      <c r="G11" s="27">
        <v>16</v>
      </c>
      <c r="H11" s="28">
        <v>20</v>
      </c>
      <c r="I11" s="62">
        <f xml:space="preserve"> ABS(TBL_S7[[#This Row],[IMP 2]]-TBL_S7[[#This Row],[IMP 1]])</f>
        <v>4</v>
      </c>
      <c r="J11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8.92</v>
      </c>
      <c r="K11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11.08</v>
      </c>
    </row>
    <row r="12" spans="2:11" x14ac:dyDescent="0.3">
      <c r="B12" s="70">
        <v>40</v>
      </c>
      <c r="C12" s="2" t="str">
        <f>VLOOKUP(TBL_S7[[#This Row],[Nr 1]],TBL_Team[],2,FALSE)</f>
        <v>W8ebeke</v>
      </c>
      <c r="D12" s="2" t="s">
        <v>6</v>
      </c>
      <c r="E12" s="3" t="str">
        <f>VLOOKUP(TBL_S7[[#This Row],[Nr 2]],TBL_Team[],2,FALSE)</f>
        <v>Geel 2</v>
      </c>
      <c r="F12" s="70">
        <v>3</v>
      </c>
      <c r="G12" s="27">
        <v>57</v>
      </c>
      <c r="H12" s="28">
        <v>30</v>
      </c>
      <c r="I12" s="62">
        <f xml:space="preserve"> ABS(TBL_S7[[#This Row],[IMP 2]]-TBL_S7[[#This Row],[IMP 1]])</f>
        <v>27</v>
      </c>
      <c r="J12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15.77</v>
      </c>
      <c r="K12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4.2300000000000004</v>
      </c>
    </row>
    <row r="13" spans="2:11" x14ac:dyDescent="0.3">
      <c r="B13" s="70">
        <v>21</v>
      </c>
      <c r="C13" s="2" t="str">
        <f>VLOOKUP(TBL_S7[[#This Row],[Nr 1]],TBL_Team[],2,FALSE)</f>
        <v>Bridgevrienden</v>
      </c>
      <c r="D13" s="2" t="s">
        <v>6</v>
      </c>
      <c r="E13" s="2" t="str">
        <f>VLOOKUP(TBL_S7[[#This Row],[Nr 2]],TBL_Team[],2,FALSE)</f>
        <v>Heusden 3</v>
      </c>
      <c r="F13" s="70">
        <v>13</v>
      </c>
      <c r="G13" s="27">
        <f xml:space="preserve"> 41+25</f>
        <v>66</v>
      </c>
      <c r="H13" s="28">
        <f xml:space="preserve"> 16+22</f>
        <v>38</v>
      </c>
      <c r="I13" s="62">
        <f xml:space="preserve"> ABS(TBL_S7[[#This Row],[IMP 2]]-TBL_S7[[#This Row],[IMP 1]])</f>
        <v>28</v>
      </c>
      <c r="J13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15.93</v>
      </c>
      <c r="K13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4.07</v>
      </c>
    </row>
    <row r="14" spans="2:11" x14ac:dyDescent="0.3">
      <c r="B14" s="70">
        <v>20</v>
      </c>
      <c r="C14" s="2" t="str">
        <f>VLOOKUP(TBL_S7[[#This Row],[Nr 1]],TBL_Team[],2,FALSE)</f>
        <v>Bee 2</v>
      </c>
      <c r="D14" s="2" t="s">
        <v>6</v>
      </c>
      <c r="E14" s="2" t="str">
        <f>VLOOKUP(TBL_S7[[#This Row],[Nr 2]],TBL_Team[],2,FALSE)</f>
        <v>Sandeman 3</v>
      </c>
      <c r="F14" s="70">
        <v>11</v>
      </c>
      <c r="G14" s="27">
        <v>37</v>
      </c>
      <c r="H14" s="28">
        <v>31</v>
      </c>
      <c r="I14" s="62">
        <f xml:space="preserve"> ABS(TBL_S7[[#This Row],[IMP 2]]-TBL_S7[[#This Row],[IMP 1]])</f>
        <v>6</v>
      </c>
      <c r="J14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11.59</v>
      </c>
      <c r="K14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8.41</v>
      </c>
    </row>
    <row r="15" spans="2:11" x14ac:dyDescent="0.3">
      <c r="B15" s="70">
        <v>31</v>
      </c>
      <c r="C15" s="2" t="str">
        <f>VLOOKUP(TBL_S7[[#This Row],[Nr 1]],TBL_Team[],2,FALSE)</f>
        <v>DOWNAGAIN ?</v>
      </c>
      <c r="D15" s="2" t="s">
        <v>6</v>
      </c>
      <c r="E15" s="2" t="str">
        <f>VLOOKUP(TBL_S7[[#This Row],[Nr 2]],TBL_Team[],2,FALSE)</f>
        <v>Essense 2</v>
      </c>
      <c r="F15" s="70">
        <v>28</v>
      </c>
      <c r="G15" s="27">
        <v>34</v>
      </c>
      <c r="H15" s="28">
        <v>54</v>
      </c>
      <c r="I15" s="62">
        <f xml:space="preserve"> ABS(TBL_S7[[#This Row],[IMP 2]]-TBL_S7[[#This Row],[IMP 1]])</f>
        <v>20</v>
      </c>
      <c r="J15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5.42</v>
      </c>
      <c r="K15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14.58</v>
      </c>
    </row>
    <row r="16" spans="2:11" x14ac:dyDescent="0.3">
      <c r="B16" s="70">
        <v>17</v>
      </c>
      <c r="C16" s="2" t="str">
        <f>VLOOKUP(TBL_S7[[#This Row],[Nr 1]],TBL_Team[],2,FALSE)</f>
        <v>Heusden 4</v>
      </c>
      <c r="D16" s="2" t="s">
        <v>6</v>
      </c>
      <c r="E16" s="2" t="str">
        <f>VLOOKUP(TBL_S7[[#This Row],[Nr 2]],TBL_Team[],2,FALSE)</f>
        <v>De plankierkaarters</v>
      </c>
      <c r="F16" s="70">
        <v>4</v>
      </c>
      <c r="G16" s="27">
        <v>75</v>
      </c>
      <c r="H16" s="28">
        <v>39</v>
      </c>
      <c r="I16" s="62">
        <f xml:space="preserve"> ABS(TBL_S7[[#This Row],[IMP 2]]-TBL_S7[[#This Row],[IMP 1]])</f>
        <v>36</v>
      </c>
      <c r="J16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17.059999999999999</v>
      </c>
      <c r="K16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2.9400000000000013</v>
      </c>
    </row>
    <row r="17" spans="2:11" x14ac:dyDescent="0.3">
      <c r="B17" s="70">
        <v>30</v>
      </c>
      <c r="C17" s="2" t="str">
        <f>VLOOKUP(TBL_S7[[#This Row],[Nr 1]],TBL_Team[],2,FALSE)</f>
        <v>Westrand 3</v>
      </c>
      <c r="D17" s="2" t="s">
        <v>6</v>
      </c>
      <c r="E17" s="2" t="str">
        <f>VLOOKUP(TBL_S7[[#This Row],[Nr 2]],TBL_Team[],2,FALSE)</f>
        <v>Houtland</v>
      </c>
      <c r="F17" s="70">
        <v>35</v>
      </c>
      <c r="G17" s="27">
        <v>22</v>
      </c>
      <c r="H17" s="28">
        <v>15</v>
      </c>
      <c r="I17" s="62">
        <f xml:space="preserve"> ABS(TBL_S7[[#This Row],[IMP 2]]-TBL_S7[[#This Row],[IMP 1]])</f>
        <v>7</v>
      </c>
      <c r="J17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11.83</v>
      </c>
      <c r="K17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8.17</v>
      </c>
    </row>
    <row r="18" spans="2:11" x14ac:dyDescent="0.3">
      <c r="B18" s="70">
        <v>24</v>
      </c>
      <c r="C18" s="2" t="str">
        <f>VLOOKUP(TBL_S7[[#This Row],[Nr 1]],TBL_Team[],2,FALSE)</f>
        <v>Kollebloem Puurs</v>
      </c>
      <c r="D18" s="2" t="s">
        <v>6</v>
      </c>
      <c r="E18" s="2" t="str">
        <f>VLOOKUP(TBL_S7[[#This Row],[Nr 2]],TBL_Team[],2,FALSE)</f>
        <v>Essense 1</v>
      </c>
      <c r="F18" s="70">
        <v>27</v>
      </c>
      <c r="G18" s="27">
        <f xml:space="preserve"> 30+32</f>
        <v>62</v>
      </c>
      <c r="H18" s="28">
        <f xml:space="preserve"> 35+16</f>
        <v>51</v>
      </c>
      <c r="I18" s="62">
        <f xml:space="preserve"> ABS(TBL_S7[[#This Row],[IMP 2]]-TBL_S7[[#This Row],[IMP 1]])</f>
        <v>11</v>
      </c>
      <c r="J18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12.76</v>
      </c>
      <c r="K18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7.24</v>
      </c>
    </row>
    <row r="19" spans="2:11" x14ac:dyDescent="0.3">
      <c r="B19" s="70">
        <v>23</v>
      </c>
      <c r="C19" s="2" t="str">
        <f>VLOOKUP(TBL_S7[[#This Row],[Nr 1]],TBL_Team[],2,FALSE)</f>
        <v>Heusden 2</v>
      </c>
      <c r="D19" s="2" t="s">
        <v>6</v>
      </c>
      <c r="E19" s="2" t="str">
        <f>VLOOKUP(TBL_S7[[#This Row],[Nr 2]],TBL_Team[],2,FALSE)</f>
        <v>Edegem 2</v>
      </c>
      <c r="F19" s="70">
        <v>45</v>
      </c>
      <c r="G19" s="27">
        <v>54</v>
      </c>
      <c r="H19" s="28">
        <v>64</v>
      </c>
      <c r="I19" s="62">
        <f xml:space="preserve"> ABS(TBL_S7[[#This Row],[IMP 2]]-TBL_S7[[#This Row],[IMP 1]])</f>
        <v>10</v>
      </c>
      <c r="J19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7.4700000000000006</v>
      </c>
      <c r="K19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12.53</v>
      </c>
    </row>
    <row r="20" spans="2:11" x14ac:dyDescent="0.3">
      <c r="B20" s="70">
        <v>39</v>
      </c>
      <c r="C20" s="2" t="str">
        <f>VLOOKUP(TBL_S7[[#This Row],[Nr 1]],TBL_Team[],2,FALSE)</f>
        <v>De witte beren</v>
      </c>
      <c r="D20" s="2" t="s">
        <v>6</v>
      </c>
      <c r="E20" s="2" t="str">
        <f>VLOOKUP(TBL_S7[[#This Row],[Nr 2]],TBL_Team[],2,FALSE)</f>
        <v>Nigranka</v>
      </c>
      <c r="F20" s="70">
        <v>33</v>
      </c>
      <c r="G20" s="27">
        <v>54</v>
      </c>
      <c r="H20" s="28">
        <v>58</v>
      </c>
      <c r="I20" s="62">
        <f xml:space="preserve"> ABS(TBL_S7[[#This Row],[IMP 2]]-TBL_S7[[#This Row],[IMP 1]])</f>
        <v>4</v>
      </c>
      <c r="J20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8.92</v>
      </c>
      <c r="K20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11.08</v>
      </c>
    </row>
    <row r="21" spans="2:11" x14ac:dyDescent="0.3">
      <c r="B21" s="70">
        <v>29</v>
      </c>
      <c r="C21" s="2" t="str">
        <f>VLOOKUP(TBL_S7[[#This Row],[Nr 1]],TBL_Team[],2,FALSE)</f>
        <v>De Schlemielen</v>
      </c>
      <c r="D21" s="2" t="s">
        <v>6</v>
      </c>
      <c r="E21" s="2" t="str">
        <f>VLOOKUP(TBL_S7[[#This Row],[Nr 2]],TBL_Team[],2,FALSE)</f>
        <v>Bree</v>
      </c>
      <c r="F21" s="70">
        <v>25</v>
      </c>
      <c r="G21" s="27">
        <v>95</v>
      </c>
      <c r="H21" s="28">
        <v>29</v>
      </c>
      <c r="I21" s="62">
        <f xml:space="preserve"> ABS(TBL_S7[[#This Row],[IMP 2]]-TBL_S7[[#This Row],[IMP 1]])</f>
        <v>66</v>
      </c>
      <c r="J21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19.93</v>
      </c>
      <c r="K21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7.0000000000000284E-2</v>
      </c>
    </row>
    <row r="22" spans="2:11" x14ac:dyDescent="0.3">
      <c r="B22" s="70">
        <v>34</v>
      </c>
      <c r="C22" s="2" t="str">
        <f>VLOOKUP(TBL_S7[[#This Row],[Nr 1]],TBL_Team[],2,FALSE)</f>
        <v>EBUROON 2</v>
      </c>
      <c r="D22" s="2" t="s">
        <v>6</v>
      </c>
      <c r="E22" s="2" t="str">
        <f>VLOOKUP(TBL_S7[[#This Row],[Nr 2]],TBL_Team[],2,FALSE)</f>
        <v>Voer</v>
      </c>
      <c r="F22" s="70">
        <v>36</v>
      </c>
      <c r="G22" s="27">
        <f xml:space="preserve"> 40+22</f>
        <v>62</v>
      </c>
      <c r="H22" s="28">
        <f xml:space="preserve"> 29+39</f>
        <v>68</v>
      </c>
      <c r="I22" s="62">
        <f xml:space="preserve"> ABS(TBL_S7[[#This Row],[IMP 2]]-TBL_S7[[#This Row],[IMP 1]])</f>
        <v>6</v>
      </c>
      <c r="J22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8.41</v>
      </c>
      <c r="K22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11.59</v>
      </c>
    </row>
    <row r="23" spans="2:11" x14ac:dyDescent="0.3">
      <c r="B23" s="70">
        <v>12</v>
      </c>
      <c r="C23" s="2" t="str">
        <f>VLOOKUP(TBL_S7[[#This Row],[Nr 1]],TBL_Team[],2,FALSE)</f>
        <v>jeweetwelwie</v>
      </c>
      <c r="D23" s="2" t="s">
        <v>6</v>
      </c>
      <c r="E23" s="2" t="str">
        <f>VLOOKUP(TBL_S7[[#This Row],[Nr 2]],TBL_Team[],2,FALSE)</f>
        <v>De Cuatros</v>
      </c>
      <c r="F23" s="70">
        <v>9</v>
      </c>
      <c r="G23" s="27">
        <v>29</v>
      </c>
      <c r="H23" s="28">
        <v>35</v>
      </c>
      <c r="I23" s="62">
        <f xml:space="preserve"> ABS(TBL_S7[[#This Row],[IMP 2]]-TBL_S7[[#This Row],[IMP 1]])</f>
        <v>6</v>
      </c>
      <c r="J23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8.41</v>
      </c>
      <c r="K23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11.59</v>
      </c>
    </row>
    <row r="24" spans="2:11" x14ac:dyDescent="0.3">
      <c r="B24" s="70">
        <v>18</v>
      </c>
      <c r="C24" s="2" t="str">
        <f>VLOOKUP(TBL_S7[[#This Row],[Nr 1]],TBL_Team[],2,FALSE)</f>
        <v>MiMoDanan</v>
      </c>
      <c r="D24" s="2" t="s">
        <v>6</v>
      </c>
      <c r="E24" s="2" t="str">
        <f>VLOOKUP(TBL_S7[[#This Row],[Nr 2]],TBL_Team[],2,FALSE)</f>
        <v>KATMOTTEPASSE</v>
      </c>
      <c r="F24" s="70">
        <v>10</v>
      </c>
      <c r="G24" s="27">
        <v>46</v>
      </c>
      <c r="H24" s="28">
        <v>7</v>
      </c>
      <c r="I24" s="62">
        <f xml:space="preserve"> ABS(TBL_S7[[#This Row],[IMP 2]]-TBL_S7[[#This Row],[IMP 1]])</f>
        <v>39</v>
      </c>
      <c r="J24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17.440000000000001</v>
      </c>
      <c r="K24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2.5599999999999987</v>
      </c>
    </row>
    <row r="25" spans="2:11" x14ac:dyDescent="0.3">
      <c r="B25" s="70">
        <v>14</v>
      </c>
      <c r="C25" s="2" t="str">
        <f>VLOOKUP(TBL_S7[[#This Row],[Nr 1]],TBL_Team[],2,FALSE)</f>
        <v>Waregem 5</v>
      </c>
      <c r="D25" s="2" t="s">
        <v>6</v>
      </c>
      <c r="E25" s="2" t="str">
        <f>VLOOKUP(TBL_S7[[#This Row],[Nr 2]],TBL_Team[],2,FALSE)</f>
        <v>Boeckenberg MK</v>
      </c>
      <c r="F25" s="70">
        <v>1</v>
      </c>
      <c r="G25" s="27">
        <v>24</v>
      </c>
      <c r="H25" s="28">
        <v>42</v>
      </c>
      <c r="I25" s="62">
        <f xml:space="preserve"> ABS(TBL_S7[[#This Row],[IMP 2]]-TBL_S7[[#This Row],[IMP 1]])</f>
        <v>18</v>
      </c>
      <c r="J25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5.8000000000000007</v>
      </c>
      <c r="K25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14.2</v>
      </c>
    </row>
    <row r="26" spans="2:11" x14ac:dyDescent="0.3">
      <c r="B26" s="70">
        <v>43</v>
      </c>
      <c r="C26" s="2" t="str">
        <f>VLOOKUP(TBL_S7[[#This Row],[Nr 1]],TBL_Team[],2,FALSE)</f>
        <v>Last minute</v>
      </c>
      <c r="D26" s="2" t="s">
        <v>6</v>
      </c>
      <c r="E26" s="2" t="str">
        <f>VLOOKUP(TBL_S7[[#This Row],[Nr 2]],TBL_Team[],2,FALSE)</f>
        <v>Sandeman 5</v>
      </c>
      <c r="F26" s="70">
        <v>15</v>
      </c>
      <c r="G26" s="27">
        <v>30</v>
      </c>
      <c r="H26" s="28">
        <v>22</v>
      </c>
      <c r="I26" s="62">
        <f xml:space="preserve"> ABS(TBL_S7[[#This Row],[IMP 2]]-TBL_S7[[#This Row],[IMP 1]])</f>
        <v>8</v>
      </c>
      <c r="J26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12.07</v>
      </c>
      <c r="K26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7.93</v>
      </c>
    </row>
    <row r="27" spans="2:11" x14ac:dyDescent="0.3">
      <c r="B27" s="70">
        <v>38</v>
      </c>
      <c r="C27" s="2" t="str">
        <f>VLOOKUP(TBL_S7[[#This Row],[Nr 1]],TBL_Team[],2,FALSE)</f>
        <v>Sandeman 6</v>
      </c>
      <c r="D27" s="2" t="s">
        <v>6</v>
      </c>
      <c r="E27" s="2" t="str">
        <f>VLOOKUP(TBL_S7[[#This Row],[Nr 2]],TBL_Team[],2,FALSE)</f>
        <v>Edegem 1</v>
      </c>
      <c r="F27" s="70">
        <v>44</v>
      </c>
      <c r="G27" s="27">
        <v>22</v>
      </c>
      <c r="H27" s="28">
        <v>23</v>
      </c>
      <c r="I27" s="62">
        <f xml:space="preserve"> ABS(TBL_S7[[#This Row],[IMP 2]]-TBL_S7[[#This Row],[IMP 1]])</f>
        <v>1</v>
      </c>
      <c r="J27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9.7200000000000006</v>
      </c>
      <c r="K27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10.28</v>
      </c>
    </row>
    <row r="28" spans="2:11" x14ac:dyDescent="0.3">
      <c r="B28" s="70">
        <v>41</v>
      </c>
      <c r="C28" s="2" t="str">
        <f>VLOOKUP(TBL_S7[[#This Row],[Nr 1]],TBL_Team[],2,FALSE)</f>
        <v>Sandeman7</v>
      </c>
      <c r="D28" s="2" t="s">
        <v>6</v>
      </c>
      <c r="E28" s="2" t="str">
        <f>VLOOKUP(TBL_S7[[#This Row],[Nr 2]],TBL_Team[],2,FALSE)</f>
        <v>Tom Pousse</v>
      </c>
      <c r="F28" s="70">
        <v>8</v>
      </c>
      <c r="G28" s="27">
        <v>33</v>
      </c>
      <c r="H28" s="28">
        <v>75</v>
      </c>
      <c r="I28" s="62">
        <f xml:space="preserve"> ABS(TBL_S7[[#This Row],[IMP 2]]-TBL_S7[[#This Row],[IMP 1]])</f>
        <v>42</v>
      </c>
      <c r="J28" s="59">
        <f xml:space="preserve"> IF(ISBLANK(TBL_S7[[#This Row],[IMP 1]]), "", IF(TBL_S7[[#This Row],[IMP 1]]&gt;TBL_S7[[#This Row],[IMP 2]], VLOOKUP(TBL_S7[[#This Row],[IMP Diff]],TBL_VP[], 2, TRUE), VLOOKUP(TBL_S7[[#This Row],[IMP Diff]],TBL_VP[], 3, TRUE)))</f>
        <v>2.2100000000000009</v>
      </c>
      <c r="K28" s="60">
        <f xml:space="preserve"> IF(ISBLANK(TBL_S7[[#This Row],[IMP 2]]), "", IF(TBL_S7[[#This Row],[IMP 2]]&gt;TBL_S7[[#This Row],[IMP 1]], VLOOKUP(TBL_S7[[#This Row],[IMP Diff]],TBL_VP[], 2, TRUE), VLOOKUP(TBL_S7[[#This Row],[IMP Diff]],TBL_VP[], 3, TRUE)))</f>
        <v>17.79</v>
      </c>
    </row>
  </sheetData>
  <phoneticPr fontId="1" type="noConversion"/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86C89-8F34-4D5E-BC93-A09FC1FE24B9}">
  <dimension ref="B3:K28"/>
  <sheetViews>
    <sheetView workbookViewId="0">
      <selection activeCell="J12" sqref="J12"/>
    </sheetView>
  </sheetViews>
  <sheetFormatPr defaultColWidth="9.33203125" defaultRowHeight="14.4" x14ac:dyDescent="0.3"/>
  <cols>
    <col min="2" max="2" width="4.88671875" bestFit="1" customWidth="1"/>
    <col min="3" max="3" width="31.6640625" customWidth="1"/>
    <col min="4" max="4" width="2.88671875" bestFit="1" customWidth="1"/>
    <col min="5" max="5" width="31.664062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9" customFormat="1" ht="15.6" x14ac:dyDescent="0.3">
      <c r="B3" s="8" t="s">
        <v>702</v>
      </c>
      <c r="C3" s="8" t="s">
        <v>704</v>
      </c>
      <c r="D3" s="8" t="s">
        <v>5</v>
      </c>
      <c r="E3" s="8" t="s">
        <v>705</v>
      </c>
      <c r="F3" s="8" t="s">
        <v>703</v>
      </c>
      <c r="G3" s="24" t="s">
        <v>0</v>
      </c>
      <c r="H3" s="25" t="s">
        <v>1</v>
      </c>
      <c r="I3" s="61" t="s">
        <v>4</v>
      </c>
      <c r="J3" s="58" t="s">
        <v>2</v>
      </c>
      <c r="K3" s="58" t="s">
        <v>3</v>
      </c>
    </row>
    <row r="4" spans="2:11" s="9" customFormat="1" ht="15.6" x14ac:dyDescent="0.3">
      <c r="B4" s="82"/>
      <c r="C4" s="85" t="s">
        <v>737</v>
      </c>
      <c r="D4" s="84"/>
      <c r="E4" s="83"/>
      <c r="F4" s="82"/>
      <c r="G4" s="77"/>
      <c r="H4" s="78"/>
      <c r="I4" s="79"/>
      <c r="J4" s="80"/>
      <c r="K4" s="81"/>
    </row>
    <row r="5" spans="2:11" x14ac:dyDescent="0.3">
      <c r="B5" s="70">
        <v>16</v>
      </c>
      <c r="C5" s="2" t="str">
        <f>VLOOKUP(TBL_S6[[#This Row],[Nr 1]],TBL_Team[],2,FALSE)</f>
        <v>Waasmunster 1</v>
      </c>
      <c r="D5" s="2" t="s">
        <v>6</v>
      </c>
      <c r="E5" s="2" t="str">
        <f>VLOOKUP(TBL_S6[[#This Row],[Nr 2]],TBL_Team[],2,FALSE)</f>
        <v>ANPAROJO</v>
      </c>
      <c r="F5" s="70">
        <v>26</v>
      </c>
      <c r="G5" s="27">
        <v>85</v>
      </c>
      <c r="H5" s="28">
        <v>19</v>
      </c>
      <c r="I5" s="62">
        <f xml:space="preserve"> ABS(TBL_S6[[#This Row],[IMP 2]]-TBL_S6[[#This Row],[IMP 1]])</f>
        <v>66</v>
      </c>
      <c r="J5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19.93</v>
      </c>
      <c r="K5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7.0000000000000284E-2</v>
      </c>
    </row>
    <row r="6" spans="2:11" x14ac:dyDescent="0.3">
      <c r="B6" s="70">
        <v>19</v>
      </c>
      <c r="C6" s="2" t="str">
        <f>VLOOKUP(TBL_S6[[#This Row],[Nr 1]],TBL_Team[],2,FALSE)</f>
        <v>Bee 1</v>
      </c>
      <c r="D6" s="2" t="s">
        <v>6</v>
      </c>
      <c r="E6" s="2" t="str">
        <f>VLOOKUP(TBL_S6[[#This Row],[Nr 2]],TBL_Team[],2,FALSE)</f>
        <v>Roeselare 2</v>
      </c>
      <c r="F6" s="70">
        <v>22</v>
      </c>
      <c r="G6" s="27">
        <f xml:space="preserve"> 12+11</f>
        <v>23</v>
      </c>
      <c r="H6" s="28">
        <f xml:space="preserve"> 24+37</f>
        <v>61</v>
      </c>
      <c r="I6" s="62">
        <f xml:space="preserve"> ABS(TBL_S6[[#This Row],[IMP 2]]-TBL_S6[[#This Row],[IMP 1]])</f>
        <v>38</v>
      </c>
      <c r="J6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2.6799999999999997</v>
      </c>
      <c r="K6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17.32</v>
      </c>
    </row>
    <row r="7" spans="2:11" x14ac:dyDescent="0.3">
      <c r="B7" s="70">
        <v>32</v>
      </c>
      <c r="C7" s="2" t="str">
        <f>VLOOKUP(TBL_S6[[#This Row],[Nr 1]],TBL_Team[],2,FALSE)</f>
        <v>Forum 3</v>
      </c>
      <c r="D7" s="2" t="s">
        <v>6</v>
      </c>
      <c r="E7" s="2" t="str">
        <f>VLOOKUP(TBL_S6[[#This Row],[Nr 2]],TBL_Team[],2,FALSE)</f>
        <v>Goldstar</v>
      </c>
      <c r="F7" s="70">
        <v>42</v>
      </c>
      <c r="G7" s="27">
        <v>79</v>
      </c>
      <c r="H7" s="28">
        <v>43</v>
      </c>
      <c r="I7" s="62">
        <f xml:space="preserve"> ABS(TBL_S6[[#This Row],[IMP 2]]-TBL_S6[[#This Row],[IMP 1]])</f>
        <v>36</v>
      </c>
      <c r="J7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17.059999999999999</v>
      </c>
      <c r="K7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2.9400000000000013</v>
      </c>
    </row>
    <row r="8" spans="2:11" x14ac:dyDescent="0.3">
      <c r="B8" s="70">
        <v>6</v>
      </c>
      <c r="C8" s="2" t="str">
        <f>VLOOKUP(TBL_S6[[#This Row],[Nr 1]],TBL_Team[],2,FALSE)</f>
        <v>Boeckenberg 2</v>
      </c>
      <c r="D8" s="2" t="s">
        <v>6</v>
      </c>
      <c r="E8" s="3" t="str">
        <f>VLOOKUP(TBL_S6[[#This Row],[Nr 2]],TBL_Team[],2,FALSE)</f>
        <v>Riviera 9</v>
      </c>
      <c r="F8" s="70">
        <v>7</v>
      </c>
      <c r="G8" s="27">
        <v>45</v>
      </c>
      <c r="H8" s="28">
        <v>41</v>
      </c>
      <c r="I8" s="62">
        <f xml:space="preserve"> ABS(TBL_S6[[#This Row],[IMP 2]]-TBL_S6[[#This Row],[IMP 1]])</f>
        <v>4</v>
      </c>
      <c r="J8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11.08</v>
      </c>
      <c r="K8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8.92</v>
      </c>
    </row>
    <row r="9" spans="2:11" ht="15.6" x14ac:dyDescent="0.3">
      <c r="B9" s="82"/>
      <c r="C9" s="85" t="s">
        <v>736</v>
      </c>
      <c r="D9" s="84"/>
      <c r="E9" s="83"/>
      <c r="F9" s="82"/>
      <c r="G9" s="77"/>
      <c r="H9" s="78"/>
      <c r="I9" s="79"/>
      <c r="J9" s="80"/>
      <c r="K9" s="81"/>
    </row>
    <row r="10" spans="2:11" x14ac:dyDescent="0.3">
      <c r="B10" s="70">
        <v>3</v>
      </c>
      <c r="C10" s="2" t="str">
        <f>VLOOKUP(TBL_S6[[#This Row],[Nr 1]],TBL_Team[],2,FALSE)</f>
        <v>Geel 2</v>
      </c>
      <c r="D10" s="2" t="s">
        <v>6</v>
      </c>
      <c r="E10" s="3" t="str">
        <f>VLOOKUP(TBL_S6[[#This Row],[Nr 2]],TBL_Team[],2,FALSE)</f>
        <v>G.L.A.M.</v>
      </c>
      <c r="F10" s="70">
        <v>2</v>
      </c>
      <c r="G10" s="27">
        <v>17</v>
      </c>
      <c r="H10" s="28">
        <v>27</v>
      </c>
      <c r="I10" s="62">
        <f xml:space="preserve"> ABS(TBL_S6[[#This Row],[IMP 2]]-TBL_S6[[#This Row],[IMP 1]])</f>
        <v>10</v>
      </c>
      <c r="J10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7.4700000000000006</v>
      </c>
      <c r="K10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12.53</v>
      </c>
    </row>
    <row r="11" spans="2:11" x14ac:dyDescent="0.3">
      <c r="B11" s="70">
        <v>28</v>
      </c>
      <c r="C11" s="2" t="str">
        <f>VLOOKUP(TBL_S6[[#This Row],[Nr 1]],TBL_Team[],2,FALSE)</f>
        <v>Essense 2</v>
      </c>
      <c r="D11" s="2" t="s">
        <v>6</v>
      </c>
      <c r="E11" s="3" t="str">
        <f>VLOOKUP(TBL_S6[[#This Row],[Nr 2]],TBL_Team[],2,FALSE)</f>
        <v>Pieterman 6</v>
      </c>
      <c r="F11" s="70">
        <v>46</v>
      </c>
      <c r="G11" s="27">
        <v>19</v>
      </c>
      <c r="H11" s="28">
        <v>50</v>
      </c>
      <c r="I11" s="62">
        <f xml:space="preserve"> ABS(TBL_S6[[#This Row],[IMP 2]]-TBL_S6[[#This Row],[IMP 1]])</f>
        <v>31</v>
      </c>
      <c r="J11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3.620000000000001</v>
      </c>
      <c r="K11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16.38</v>
      </c>
    </row>
    <row r="12" spans="2:11" x14ac:dyDescent="0.3">
      <c r="B12" s="70">
        <v>37</v>
      </c>
      <c r="C12" s="2" t="str">
        <f>VLOOKUP(TBL_S6[[#This Row],[Nr 1]],TBL_Team[],2,FALSE)</f>
        <v>REGENBOOG</v>
      </c>
      <c r="D12" s="2" t="s">
        <v>6</v>
      </c>
      <c r="E12" s="3" t="str">
        <f>VLOOKUP(TBL_S6[[#This Row],[Nr 2]],TBL_Team[],2,FALSE)</f>
        <v>De plankierkaarters</v>
      </c>
      <c r="F12" s="70">
        <v>4</v>
      </c>
      <c r="G12" s="27">
        <v>53</v>
      </c>
      <c r="H12" s="28">
        <v>22</v>
      </c>
      <c r="I12" s="62">
        <f xml:space="preserve"> ABS(TBL_S6[[#This Row],[IMP 2]]-TBL_S6[[#This Row],[IMP 1]])</f>
        <v>31</v>
      </c>
      <c r="J12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16.38</v>
      </c>
      <c r="K12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3.620000000000001</v>
      </c>
    </row>
    <row r="13" spans="2:11" x14ac:dyDescent="0.3">
      <c r="B13" s="70">
        <v>5</v>
      </c>
      <c r="C13" s="2" t="str">
        <f>VLOOKUP(TBL_S6[[#This Row],[Nr 1]],TBL_Team[],2,FALSE)</f>
        <v>De Wevers</v>
      </c>
      <c r="D13" s="2" t="s">
        <v>6</v>
      </c>
      <c r="E13" s="2" t="str">
        <f>VLOOKUP(TBL_S6[[#This Row],[Nr 2]],TBL_Team[],2,FALSE)</f>
        <v>Westrand 3</v>
      </c>
      <c r="F13" s="70">
        <v>30</v>
      </c>
      <c r="G13" s="27">
        <v>55</v>
      </c>
      <c r="H13" s="28">
        <v>35</v>
      </c>
      <c r="I13" s="62">
        <f xml:space="preserve"> ABS(TBL_S6[[#This Row],[IMP 2]]-TBL_S6[[#This Row],[IMP 1]])</f>
        <v>20</v>
      </c>
      <c r="J13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14.58</v>
      </c>
      <c r="K13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5.42</v>
      </c>
    </row>
    <row r="14" spans="2:11" x14ac:dyDescent="0.3">
      <c r="B14" s="70">
        <v>35</v>
      </c>
      <c r="C14" s="2" t="str">
        <f>VLOOKUP(TBL_S6[[#This Row],[Nr 1]],TBL_Team[],2,FALSE)</f>
        <v>Houtland</v>
      </c>
      <c r="D14" s="2" t="s">
        <v>6</v>
      </c>
      <c r="E14" s="2" t="str">
        <f>VLOOKUP(TBL_S6[[#This Row],[Nr 2]],TBL_Team[],2,FALSE)</f>
        <v>Bridgevrienden</v>
      </c>
      <c r="F14" s="70">
        <v>21</v>
      </c>
      <c r="G14" s="27">
        <v>37</v>
      </c>
      <c r="H14" s="28">
        <v>59</v>
      </c>
      <c r="I14" s="62">
        <f xml:space="preserve"> ABS(TBL_S6[[#This Row],[IMP 2]]-TBL_S6[[#This Row],[IMP 1]])</f>
        <v>22</v>
      </c>
      <c r="J14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5.0600000000000005</v>
      </c>
      <c r="K14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14.94</v>
      </c>
    </row>
    <row r="15" spans="2:11" x14ac:dyDescent="0.3">
      <c r="B15" s="70">
        <v>45</v>
      </c>
      <c r="C15" s="2" t="str">
        <f>VLOOKUP(TBL_S6[[#This Row],[Nr 1]],TBL_Team[],2,FALSE)</f>
        <v>Edegem 2</v>
      </c>
      <c r="D15" s="2" t="s">
        <v>6</v>
      </c>
      <c r="E15" s="2" t="str">
        <f>VLOOKUP(TBL_S6[[#This Row],[Nr 2]],TBL_Team[],2,FALSE)</f>
        <v>W8ebeke</v>
      </c>
      <c r="F15" s="70">
        <v>40</v>
      </c>
      <c r="G15" s="27">
        <f xml:space="preserve"> 1+17</f>
        <v>18</v>
      </c>
      <c r="H15" s="28">
        <f xml:space="preserve"> 31+21</f>
        <v>52</v>
      </c>
      <c r="I15" s="62">
        <f xml:space="preserve"> ABS(TBL_S6[[#This Row],[IMP 2]]-TBL_S6[[#This Row],[IMP 1]])</f>
        <v>34</v>
      </c>
      <c r="J15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3.1999999999999993</v>
      </c>
      <c r="K15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16.8</v>
      </c>
    </row>
    <row r="16" spans="2:11" x14ac:dyDescent="0.3">
      <c r="B16" s="70">
        <v>24</v>
      </c>
      <c r="C16" s="2" t="str">
        <f>VLOOKUP(TBL_S6[[#This Row],[Nr 1]],TBL_Team[],2,FALSE)</f>
        <v>Kollebloem Puurs</v>
      </c>
      <c r="D16" s="2" t="s">
        <v>6</v>
      </c>
      <c r="E16" s="2" t="str">
        <f>VLOOKUP(TBL_S6[[#This Row],[Nr 2]],TBL_Team[],2,FALSE)</f>
        <v>Bee 2</v>
      </c>
      <c r="F16" s="70">
        <v>20</v>
      </c>
      <c r="G16" s="27">
        <f xml:space="preserve"> 34+19</f>
        <v>53</v>
      </c>
      <c r="H16" s="28">
        <f xml:space="preserve"> 18+52</f>
        <v>70</v>
      </c>
      <c r="I16" s="62">
        <f xml:space="preserve"> ABS(TBL_S6[[#This Row],[IMP 2]]-TBL_S6[[#This Row],[IMP 1]])</f>
        <v>17</v>
      </c>
      <c r="J16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5.99</v>
      </c>
      <c r="K16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14.01</v>
      </c>
    </row>
    <row r="17" spans="2:11" x14ac:dyDescent="0.3">
      <c r="B17" s="70">
        <v>11</v>
      </c>
      <c r="C17" s="2" t="str">
        <f>VLOOKUP(TBL_S6[[#This Row],[Nr 1]],TBL_Team[],2,FALSE)</f>
        <v>Sandeman 3</v>
      </c>
      <c r="D17" s="2" t="s">
        <v>6</v>
      </c>
      <c r="E17" s="2" t="str">
        <f>VLOOKUP(TBL_S6[[#This Row],[Nr 2]],TBL_Team[],2,FALSE)</f>
        <v>Heusden 2</v>
      </c>
      <c r="F17" s="70">
        <v>23</v>
      </c>
      <c r="G17" s="27">
        <v>44</v>
      </c>
      <c r="H17" s="28">
        <v>31</v>
      </c>
      <c r="I17" s="62">
        <f xml:space="preserve"> ABS(TBL_S6[[#This Row],[IMP 2]]-TBL_S6[[#This Row],[IMP 1]])</f>
        <v>13</v>
      </c>
      <c r="J17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13.2</v>
      </c>
      <c r="K17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6.8000000000000007</v>
      </c>
    </row>
    <row r="18" spans="2:11" x14ac:dyDescent="0.3">
      <c r="B18" s="70">
        <v>39</v>
      </c>
      <c r="C18" s="2" t="str">
        <f>VLOOKUP(TBL_S6[[#This Row],[Nr 1]],TBL_Team[],2,FALSE)</f>
        <v>De witte beren</v>
      </c>
      <c r="D18" s="2" t="s">
        <v>6</v>
      </c>
      <c r="E18" s="2" t="str">
        <f>VLOOKUP(TBL_S6[[#This Row],[Nr 2]],TBL_Team[],2,FALSE)</f>
        <v>DOWNAGAIN ?</v>
      </c>
      <c r="F18" s="70">
        <v>31</v>
      </c>
      <c r="G18" s="27">
        <v>32</v>
      </c>
      <c r="H18" s="28">
        <v>48</v>
      </c>
      <c r="I18" s="62">
        <f xml:space="preserve"> ABS(TBL_S6[[#This Row],[IMP 2]]-TBL_S6[[#This Row],[IMP 1]])</f>
        <v>16</v>
      </c>
      <c r="J18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6.1899999999999995</v>
      </c>
      <c r="K18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13.81</v>
      </c>
    </row>
    <row r="19" spans="2:11" x14ac:dyDescent="0.3">
      <c r="B19" s="70">
        <v>17</v>
      </c>
      <c r="C19" s="2" t="str">
        <f>VLOOKUP(TBL_S6[[#This Row],[Nr 1]],TBL_Team[],2,FALSE)</f>
        <v>Heusden 4</v>
      </c>
      <c r="D19" s="2" t="s">
        <v>6</v>
      </c>
      <c r="E19" s="2" t="str">
        <f>VLOOKUP(TBL_S6[[#This Row],[Nr 2]],TBL_Team[],2,FALSE)</f>
        <v>Nigranka</v>
      </c>
      <c r="F19" s="70">
        <v>33</v>
      </c>
      <c r="G19" s="27">
        <v>41</v>
      </c>
      <c r="H19" s="28">
        <v>28</v>
      </c>
      <c r="I19" s="62">
        <f xml:space="preserve"> ABS(TBL_S6[[#This Row],[IMP 2]]-TBL_S6[[#This Row],[IMP 1]])</f>
        <v>13</v>
      </c>
      <c r="J19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13.2</v>
      </c>
      <c r="K19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6.8000000000000007</v>
      </c>
    </row>
    <row r="20" spans="2:11" x14ac:dyDescent="0.3">
      <c r="B20" s="70">
        <v>13</v>
      </c>
      <c r="C20" s="2" t="str">
        <f>VLOOKUP(TBL_S6[[#This Row],[Nr 1]],TBL_Team[],2,FALSE)</f>
        <v>Heusden 3</v>
      </c>
      <c r="D20" s="2" t="s">
        <v>6</v>
      </c>
      <c r="E20" s="2" t="str">
        <f>VLOOKUP(TBL_S6[[#This Row],[Nr 2]],TBL_Team[],2,FALSE)</f>
        <v>Boeckenberg MK</v>
      </c>
      <c r="F20" s="70">
        <v>1</v>
      </c>
      <c r="G20" s="27">
        <f xml:space="preserve"> 39+52</f>
        <v>91</v>
      </c>
      <c r="H20" s="28">
        <f xml:space="preserve"> 26+3</f>
        <v>29</v>
      </c>
      <c r="I20" s="62">
        <f xml:space="preserve"> ABS(TBL_S6[[#This Row],[IMP 2]]-TBL_S6[[#This Row],[IMP 1]])</f>
        <v>62</v>
      </c>
      <c r="J20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19.649999999999999</v>
      </c>
      <c r="K20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0.35000000000000142</v>
      </c>
    </row>
    <row r="21" spans="2:11" x14ac:dyDescent="0.3">
      <c r="B21" s="70">
        <v>27</v>
      </c>
      <c r="C21" s="2" t="str">
        <f>VLOOKUP(TBL_S6[[#This Row],[Nr 1]],TBL_Team[],2,FALSE)</f>
        <v>Essense 1</v>
      </c>
      <c r="D21" s="2" t="s">
        <v>6</v>
      </c>
      <c r="E21" s="2" t="str">
        <f>VLOOKUP(TBL_S6[[#This Row],[Nr 2]],TBL_Team[],2,FALSE)</f>
        <v>EBUROON 2</v>
      </c>
      <c r="F21" s="70">
        <v>34</v>
      </c>
      <c r="G21" s="27">
        <v>49</v>
      </c>
      <c r="H21" s="28">
        <v>38</v>
      </c>
      <c r="I21" s="62">
        <f xml:space="preserve"> ABS(TBL_S6[[#This Row],[IMP 2]]-TBL_S6[[#This Row],[IMP 1]])</f>
        <v>11</v>
      </c>
      <c r="J21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12.76</v>
      </c>
      <c r="K21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7.24</v>
      </c>
    </row>
    <row r="22" spans="2:11" x14ac:dyDescent="0.3">
      <c r="B22" s="70">
        <v>10</v>
      </c>
      <c r="C22" s="2" t="str">
        <f>VLOOKUP(TBL_S6[[#This Row],[Nr 1]],TBL_Team[],2,FALSE)</f>
        <v>KATMOTTEPASSE</v>
      </c>
      <c r="D22" s="2" t="s">
        <v>6</v>
      </c>
      <c r="E22" s="2" t="str">
        <f>VLOOKUP(TBL_S6[[#This Row],[Nr 2]],TBL_Team[],2,FALSE)</f>
        <v>De Schlemielen</v>
      </c>
      <c r="F22" s="70">
        <v>29</v>
      </c>
      <c r="G22" s="27">
        <v>32</v>
      </c>
      <c r="H22" s="28">
        <v>51</v>
      </c>
      <c r="I22" s="62">
        <f xml:space="preserve"> ABS(TBL_S6[[#This Row],[IMP 2]]-TBL_S6[[#This Row],[IMP 1]])</f>
        <v>19</v>
      </c>
      <c r="J22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5.6099999999999994</v>
      </c>
      <c r="K22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14.39</v>
      </c>
    </row>
    <row r="23" spans="2:11" x14ac:dyDescent="0.3">
      <c r="B23" s="70">
        <v>25</v>
      </c>
      <c r="C23" s="2" t="str">
        <f>VLOOKUP(TBL_S6[[#This Row],[Nr 1]],TBL_Team[],2,FALSE)</f>
        <v>Bree</v>
      </c>
      <c r="D23" s="2" t="s">
        <v>6</v>
      </c>
      <c r="E23" s="2" t="str">
        <f>VLOOKUP(TBL_S6[[#This Row],[Nr 2]],TBL_Team[],2,FALSE)</f>
        <v>De Cuatros</v>
      </c>
      <c r="F23" s="70">
        <v>9</v>
      </c>
      <c r="G23" s="27">
        <v>46</v>
      </c>
      <c r="H23" s="28">
        <v>42</v>
      </c>
      <c r="I23" s="62">
        <f xml:space="preserve"> ABS(TBL_S6[[#This Row],[IMP 2]]-TBL_S6[[#This Row],[IMP 1]])</f>
        <v>4</v>
      </c>
      <c r="J23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11.08</v>
      </c>
      <c r="K23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8.92</v>
      </c>
    </row>
    <row r="24" spans="2:11" x14ac:dyDescent="0.3">
      <c r="B24" s="70">
        <v>14</v>
      </c>
      <c r="C24" s="2" t="str">
        <f>VLOOKUP(TBL_S6[[#This Row],[Nr 1]],TBL_Team[],2,FALSE)</f>
        <v>Waregem 5</v>
      </c>
      <c r="D24" s="2" t="s">
        <v>6</v>
      </c>
      <c r="E24" s="2" t="str">
        <f>VLOOKUP(TBL_S6[[#This Row],[Nr 2]],TBL_Team[],2,FALSE)</f>
        <v>MiMoDanan</v>
      </c>
      <c r="F24" s="70">
        <v>18</v>
      </c>
      <c r="G24" s="27">
        <v>32</v>
      </c>
      <c r="H24" s="28">
        <v>40</v>
      </c>
      <c r="I24" s="62">
        <f xml:space="preserve"> ABS(TBL_S6[[#This Row],[IMP 2]]-TBL_S6[[#This Row],[IMP 1]])</f>
        <v>8</v>
      </c>
      <c r="J24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7.93</v>
      </c>
      <c r="K24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12.07</v>
      </c>
    </row>
    <row r="25" spans="2:11" x14ac:dyDescent="0.3">
      <c r="B25" s="70">
        <v>36</v>
      </c>
      <c r="C25" s="2" t="str">
        <f>VLOOKUP(TBL_S6[[#This Row],[Nr 1]],TBL_Team[],2,FALSE)</f>
        <v>Voer</v>
      </c>
      <c r="D25" s="2" t="s">
        <v>6</v>
      </c>
      <c r="E25" s="2" t="str">
        <f>VLOOKUP(TBL_S6[[#This Row],[Nr 2]],TBL_Team[],2,FALSE)</f>
        <v>Sandeman 6</v>
      </c>
      <c r="F25" s="70">
        <v>38</v>
      </c>
      <c r="G25" s="27">
        <v>46</v>
      </c>
      <c r="H25" s="28">
        <v>35</v>
      </c>
      <c r="I25" s="62">
        <f xml:space="preserve"> ABS(TBL_S6[[#This Row],[IMP 2]]-TBL_S6[[#This Row],[IMP 1]])</f>
        <v>11</v>
      </c>
      <c r="J25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12.76</v>
      </c>
      <c r="K25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7.24</v>
      </c>
    </row>
    <row r="26" spans="2:11" x14ac:dyDescent="0.3">
      <c r="B26" s="70">
        <v>12</v>
      </c>
      <c r="C26" s="2" t="str">
        <f>VLOOKUP(TBL_S6[[#This Row],[Nr 1]],TBL_Team[],2,FALSE)</f>
        <v>jeweetwelwie</v>
      </c>
      <c r="D26" s="2" t="s">
        <v>6</v>
      </c>
      <c r="E26" s="2" t="str">
        <f>VLOOKUP(TBL_S6[[#This Row],[Nr 2]],TBL_Team[],2,FALSE)</f>
        <v>Tom Pousse</v>
      </c>
      <c r="F26" s="70">
        <v>8</v>
      </c>
      <c r="G26" s="27">
        <v>57</v>
      </c>
      <c r="H26" s="28">
        <v>17</v>
      </c>
      <c r="I26" s="62">
        <f xml:space="preserve"> ABS(TBL_S6[[#This Row],[IMP 2]]-TBL_S6[[#This Row],[IMP 1]])</f>
        <v>40</v>
      </c>
      <c r="J26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17.559999999999999</v>
      </c>
      <c r="K26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2.4400000000000013</v>
      </c>
    </row>
    <row r="27" spans="2:11" x14ac:dyDescent="0.3">
      <c r="B27" s="70">
        <v>41</v>
      </c>
      <c r="C27" s="2" t="str">
        <f>VLOOKUP(TBL_S6[[#This Row],[Nr 1]],TBL_Team[],2,FALSE)</f>
        <v>Sandeman7</v>
      </c>
      <c r="D27" s="2" t="s">
        <v>6</v>
      </c>
      <c r="E27" s="2" t="str">
        <f>VLOOKUP(TBL_S6[[#This Row],[Nr 2]],TBL_Team[],2,FALSE)</f>
        <v>Last minute</v>
      </c>
      <c r="F27" s="70">
        <v>43</v>
      </c>
      <c r="G27" s="27">
        <v>23</v>
      </c>
      <c r="H27" s="28">
        <v>52</v>
      </c>
      <c r="I27" s="62">
        <f xml:space="preserve"> ABS(TBL_S6[[#This Row],[IMP 2]]-TBL_S6[[#This Row],[IMP 1]])</f>
        <v>29</v>
      </c>
      <c r="J27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3.9200000000000017</v>
      </c>
      <c r="K27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16.079999999999998</v>
      </c>
    </row>
    <row r="28" spans="2:11" x14ac:dyDescent="0.3">
      <c r="B28" s="70">
        <v>44</v>
      </c>
      <c r="C28" s="2" t="str">
        <f>VLOOKUP(TBL_S6[[#This Row],[Nr 1]],TBL_Team[],2,FALSE)</f>
        <v>Edegem 1</v>
      </c>
      <c r="D28" s="2" t="s">
        <v>6</v>
      </c>
      <c r="E28" s="2" t="str">
        <f>VLOOKUP(TBL_S6[[#This Row],[Nr 2]],TBL_Team[],2,FALSE)</f>
        <v>Sandeman 5</v>
      </c>
      <c r="F28" s="70">
        <v>15</v>
      </c>
      <c r="G28" s="27">
        <f xml:space="preserve"> 5+34</f>
        <v>39</v>
      </c>
      <c r="H28" s="28">
        <f xml:space="preserve"> 31+13</f>
        <v>44</v>
      </c>
      <c r="I28" s="62">
        <f xml:space="preserve"> ABS(TBL_S6[[#This Row],[IMP 2]]-TBL_S6[[#This Row],[IMP 1]])</f>
        <v>5</v>
      </c>
      <c r="J28" s="59">
        <f xml:space="preserve"> IF(ISBLANK(TBL_S6[[#This Row],[IMP 1]]), "", IF(TBL_S6[[#This Row],[IMP 1]]&gt;TBL_S6[[#This Row],[IMP 2]], VLOOKUP(TBL_S6[[#This Row],[IMP Diff]],TBL_VP[], 2, TRUE), VLOOKUP(TBL_S6[[#This Row],[IMP Diff]],TBL_VP[], 3, TRUE)))</f>
        <v>8.66</v>
      </c>
      <c r="K28" s="60">
        <f xml:space="preserve"> IF(ISBLANK(TBL_S6[[#This Row],[IMP 2]]), "", IF(TBL_S6[[#This Row],[IMP 2]]&gt;TBL_S6[[#This Row],[IMP 1]], VLOOKUP(TBL_S6[[#This Row],[IMP Diff]],TBL_VP[], 2, TRUE), VLOOKUP(TBL_S6[[#This Row],[IMP Diff]],TBL_VP[], 3, TRUE)))</f>
        <v>11.34</v>
      </c>
    </row>
  </sheetData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BB3C3-E70B-4B50-A180-BBE563935B33}">
  <dimension ref="B3:K26"/>
  <sheetViews>
    <sheetView workbookViewId="0">
      <selection activeCell="I10" sqref="I10"/>
    </sheetView>
  </sheetViews>
  <sheetFormatPr defaultColWidth="9.33203125" defaultRowHeight="14.4" x14ac:dyDescent="0.3"/>
  <cols>
    <col min="2" max="2" width="4.88671875" bestFit="1" customWidth="1"/>
    <col min="3" max="3" width="31.6640625" customWidth="1"/>
    <col min="4" max="4" width="2.88671875" bestFit="1" customWidth="1"/>
    <col min="5" max="5" width="31.664062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9" customFormat="1" ht="15.6" x14ac:dyDescent="0.3">
      <c r="B3" s="8" t="s">
        <v>702</v>
      </c>
      <c r="C3" s="8" t="s">
        <v>704</v>
      </c>
      <c r="D3" s="8" t="s">
        <v>5</v>
      </c>
      <c r="E3" s="8" t="s">
        <v>705</v>
      </c>
      <c r="F3" s="8" t="s">
        <v>703</v>
      </c>
      <c r="G3" s="24" t="s">
        <v>0</v>
      </c>
      <c r="H3" s="25" t="s">
        <v>1</v>
      </c>
      <c r="I3" s="61" t="s">
        <v>4</v>
      </c>
      <c r="J3" s="58" t="s">
        <v>2</v>
      </c>
      <c r="K3" s="58" t="s">
        <v>3</v>
      </c>
    </row>
    <row r="4" spans="2:11" x14ac:dyDescent="0.3">
      <c r="B4" s="70">
        <v>16</v>
      </c>
      <c r="C4" s="2" t="str">
        <f>VLOOKUP(TBL_S5[[#This Row],[Nr 1]],TBL_Team[],2,FALSE)</f>
        <v>Waasmunster 1</v>
      </c>
      <c r="D4" s="2" t="s">
        <v>6</v>
      </c>
      <c r="E4" s="2" t="str">
        <f>VLOOKUP(TBL_S5[[#This Row],[Nr 2]],TBL_Team[],2,FALSE)</f>
        <v>Roeselare 2</v>
      </c>
      <c r="F4" s="70">
        <v>22</v>
      </c>
      <c r="G4" s="27">
        <v>44</v>
      </c>
      <c r="H4" s="28">
        <v>24</v>
      </c>
      <c r="I4" s="62">
        <f xml:space="preserve"> ABS(TBL_S5[[#This Row],[IMP 2]]-TBL_S5[[#This Row],[IMP 1]])</f>
        <v>20</v>
      </c>
      <c r="J4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14.58</v>
      </c>
      <c r="K4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5.42</v>
      </c>
    </row>
    <row r="5" spans="2:11" x14ac:dyDescent="0.3">
      <c r="B5" s="70">
        <v>19</v>
      </c>
      <c r="C5" s="2" t="str">
        <f>VLOOKUP(TBL_S5[[#This Row],[Nr 1]],TBL_Team[],2,FALSE)</f>
        <v>Bee 1</v>
      </c>
      <c r="D5" s="2" t="s">
        <v>6</v>
      </c>
      <c r="E5" s="2" t="str">
        <f>VLOOKUP(TBL_S5[[#This Row],[Nr 2]],TBL_Team[],2,FALSE)</f>
        <v>G.L.A.M.</v>
      </c>
      <c r="F5" s="70">
        <v>2</v>
      </c>
      <c r="G5" s="27">
        <v>56</v>
      </c>
      <c r="H5" s="28">
        <v>31</v>
      </c>
      <c r="I5" s="62">
        <f xml:space="preserve"> ABS(TBL_S5[[#This Row],[IMP 2]]-TBL_S5[[#This Row],[IMP 1]])</f>
        <v>25</v>
      </c>
      <c r="J5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15.45</v>
      </c>
      <c r="K5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4.5500000000000007</v>
      </c>
    </row>
    <row r="6" spans="2:11" x14ac:dyDescent="0.3">
      <c r="B6" s="70">
        <v>7</v>
      </c>
      <c r="C6" s="2" t="str">
        <f>VLOOKUP(TBL_S5[[#This Row],[Nr 1]],TBL_Team[],2,FALSE)</f>
        <v>Riviera 9</v>
      </c>
      <c r="D6" s="2" t="s">
        <v>6</v>
      </c>
      <c r="E6" s="2" t="str">
        <f>VLOOKUP(TBL_S5[[#This Row],[Nr 2]],TBL_Team[],2,FALSE)</f>
        <v>Essense 2</v>
      </c>
      <c r="F6" s="70">
        <v>28</v>
      </c>
      <c r="G6" s="27">
        <v>54</v>
      </c>
      <c r="H6" s="28">
        <v>41</v>
      </c>
      <c r="I6" s="62">
        <f xml:space="preserve"> ABS(TBL_S5[[#This Row],[IMP 2]]-TBL_S5[[#This Row],[IMP 1]])</f>
        <v>13</v>
      </c>
      <c r="J6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13.2</v>
      </c>
      <c r="K6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6.8000000000000007</v>
      </c>
    </row>
    <row r="7" spans="2:11" x14ac:dyDescent="0.3">
      <c r="B7" s="70">
        <v>4</v>
      </c>
      <c r="C7" s="2" t="str">
        <f>VLOOKUP(TBL_S5[[#This Row],[Nr 1]],TBL_Team[],2,FALSE)</f>
        <v>De plankierkaarters</v>
      </c>
      <c r="D7" s="2" t="s">
        <v>6</v>
      </c>
      <c r="E7" s="3" t="str">
        <f>VLOOKUP(TBL_S5[[#This Row],[Nr 2]],TBL_Team[],2,FALSE)</f>
        <v>Forum 3</v>
      </c>
      <c r="F7" s="70">
        <v>32</v>
      </c>
      <c r="G7" s="27">
        <v>53</v>
      </c>
      <c r="H7" s="28">
        <v>86</v>
      </c>
      <c r="I7" s="62">
        <f xml:space="preserve"> ABS(TBL_S5[[#This Row],[IMP 2]]-TBL_S5[[#This Row],[IMP 1]])</f>
        <v>33</v>
      </c>
      <c r="J7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3.34</v>
      </c>
      <c r="K7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16.66</v>
      </c>
    </row>
    <row r="8" spans="2:11" x14ac:dyDescent="0.3">
      <c r="B8" s="70">
        <v>37</v>
      </c>
      <c r="C8" s="2" t="str">
        <f>VLOOKUP(TBL_S5[[#This Row],[Nr 1]],TBL_Team[],2,FALSE)</f>
        <v>REGENBOOG</v>
      </c>
      <c r="D8" s="2" t="s">
        <v>6</v>
      </c>
      <c r="E8" s="3" t="str">
        <f>VLOOKUP(TBL_S5[[#This Row],[Nr 2]],TBL_Team[],2,FALSE)</f>
        <v>ANPAROJO</v>
      </c>
      <c r="F8" s="70">
        <v>26</v>
      </c>
      <c r="G8" s="27">
        <v>38</v>
      </c>
      <c r="H8" s="28">
        <v>51</v>
      </c>
      <c r="I8" s="62">
        <f xml:space="preserve"> ABS(TBL_S5[[#This Row],[IMP 2]]-TBL_S5[[#This Row],[IMP 1]])</f>
        <v>13</v>
      </c>
      <c r="J8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6.8000000000000007</v>
      </c>
      <c r="K8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13.2</v>
      </c>
    </row>
    <row r="9" spans="2:11" x14ac:dyDescent="0.3">
      <c r="B9" s="70">
        <v>24</v>
      </c>
      <c r="C9" s="2" t="str">
        <f>VLOOKUP(TBL_S5[[#This Row],[Nr 1]],TBL_Team[],2,FALSE)</f>
        <v>Kollebloem Puurs</v>
      </c>
      <c r="D9" s="2" t="s">
        <v>6</v>
      </c>
      <c r="E9" s="3" t="str">
        <f>VLOOKUP(TBL_S5[[#This Row],[Nr 2]],TBL_Team[],2,FALSE)</f>
        <v>Boeckenberg 2</v>
      </c>
      <c r="F9" s="70">
        <v>6</v>
      </c>
      <c r="G9" s="27">
        <v>2</v>
      </c>
      <c r="H9" s="28">
        <v>52</v>
      </c>
      <c r="I9" s="62">
        <f xml:space="preserve"> ABS(TBL_S5[[#This Row],[IMP 2]]-TBL_S5[[#This Row],[IMP 1]])</f>
        <v>50</v>
      </c>
      <c r="J9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1.370000000000001</v>
      </c>
      <c r="K9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18.63</v>
      </c>
    </row>
    <row r="10" spans="2:11" x14ac:dyDescent="0.3">
      <c r="B10" s="70">
        <v>42</v>
      </c>
      <c r="C10" s="2" t="str">
        <f>VLOOKUP(TBL_S5[[#This Row],[Nr 1]],TBL_Team[],2,FALSE)</f>
        <v>Goldstar</v>
      </c>
      <c r="D10" s="2" t="s">
        <v>6</v>
      </c>
      <c r="E10" s="3" t="str">
        <f>VLOOKUP(TBL_S5[[#This Row],[Nr 2]],TBL_Team[],2,FALSE)</f>
        <v>Heusden 3</v>
      </c>
      <c r="F10" s="70">
        <v>13</v>
      </c>
      <c r="G10" s="27">
        <v>77</v>
      </c>
      <c r="H10" s="28">
        <v>26</v>
      </c>
      <c r="I10" s="62">
        <f xml:space="preserve"> ABS(TBL_S5[[#This Row],[IMP 2]]-TBL_S5[[#This Row],[IMP 1]])</f>
        <v>51</v>
      </c>
      <c r="J10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18.73</v>
      </c>
      <c r="K10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1.2699999999999996</v>
      </c>
    </row>
    <row r="11" spans="2:11" x14ac:dyDescent="0.3">
      <c r="B11" s="70">
        <v>5</v>
      </c>
      <c r="C11" s="2" t="str">
        <f>VLOOKUP(TBL_S5[[#This Row],[Nr 1]],TBL_Team[],2,FALSE)</f>
        <v>De Wevers</v>
      </c>
      <c r="D11" s="2" t="s">
        <v>6</v>
      </c>
      <c r="E11" s="2" t="str">
        <f>VLOOKUP(TBL_S5[[#This Row],[Nr 2]],TBL_Team[],2,FALSE)</f>
        <v>Houtland</v>
      </c>
      <c r="F11" s="70">
        <v>35</v>
      </c>
      <c r="G11" s="27">
        <v>49</v>
      </c>
      <c r="H11" s="28">
        <v>46</v>
      </c>
      <c r="I11" s="62">
        <f xml:space="preserve"> ABS(TBL_S5[[#This Row],[IMP 2]]-TBL_S5[[#This Row],[IMP 1]])</f>
        <v>3</v>
      </c>
      <c r="J11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10.82</v>
      </c>
      <c r="K11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9.18</v>
      </c>
    </row>
    <row r="12" spans="2:11" x14ac:dyDescent="0.3">
      <c r="B12" s="70">
        <v>23</v>
      </c>
      <c r="C12" s="2" t="str">
        <f>VLOOKUP(TBL_S5[[#This Row],[Nr 1]],TBL_Team[],2,FALSE)</f>
        <v>Heusden 2</v>
      </c>
      <c r="D12" s="2" t="s">
        <v>6</v>
      </c>
      <c r="E12" s="2" t="str">
        <f>VLOOKUP(TBL_S5[[#This Row],[Nr 2]],TBL_Team[],2,FALSE)</f>
        <v>Pieterman 6</v>
      </c>
      <c r="F12" s="70">
        <v>46</v>
      </c>
      <c r="G12" s="27">
        <v>24</v>
      </c>
      <c r="H12" s="28">
        <v>40</v>
      </c>
      <c r="I12" s="62">
        <f xml:space="preserve"> ABS(TBL_S5[[#This Row],[IMP 2]]-TBL_S5[[#This Row],[IMP 1]])</f>
        <v>16</v>
      </c>
      <c r="J12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6.1899999999999995</v>
      </c>
      <c r="K12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13.81</v>
      </c>
    </row>
    <row r="13" spans="2:11" x14ac:dyDescent="0.3">
      <c r="B13" s="70">
        <v>40</v>
      </c>
      <c r="C13" s="2" t="str">
        <f>VLOOKUP(TBL_S5[[#This Row],[Nr 1]],TBL_Team[],2,FALSE)</f>
        <v>W8ebeke</v>
      </c>
      <c r="D13" s="2" t="s">
        <v>6</v>
      </c>
      <c r="E13" s="2" t="str">
        <f>VLOOKUP(TBL_S5[[#This Row],[Nr 2]],TBL_Team[],2,FALSE)</f>
        <v>Westrand 3</v>
      </c>
      <c r="F13" s="70">
        <v>30</v>
      </c>
      <c r="G13" s="27">
        <v>43</v>
      </c>
      <c r="H13" s="28">
        <v>50</v>
      </c>
      <c r="I13" s="62">
        <f xml:space="preserve"> ABS(TBL_S5[[#This Row],[IMP 2]]-TBL_S5[[#This Row],[IMP 1]])</f>
        <v>7</v>
      </c>
      <c r="J13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8.17</v>
      </c>
      <c r="K13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11.83</v>
      </c>
    </row>
    <row r="14" spans="2:11" x14ac:dyDescent="0.3">
      <c r="B14" s="70">
        <v>3</v>
      </c>
      <c r="C14" s="2" t="str">
        <f>VLOOKUP(TBL_S5[[#This Row],[Nr 1]],TBL_Team[],2,FALSE)</f>
        <v>Geel 2</v>
      </c>
      <c r="D14" s="2" t="s">
        <v>6</v>
      </c>
      <c r="E14" s="2" t="str">
        <f>VLOOKUP(TBL_S5[[#This Row],[Nr 2]],TBL_Team[],2,FALSE)</f>
        <v>KATMOTTEPASSE</v>
      </c>
      <c r="F14" s="70">
        <v>10</v>
      </c>
      <c r="G14" s="27">
        <v>74</v>
      </c>
      <c r="H14" s="28">
        <v>20</v>
      </c>
      <c r="I14" s="62">
        <f xml:space="preserve"> ABS(TBL_S5[[#This Row],[IMP 2]]-TBL_S5[[#This Row],[IMP 1]])</f>
        <v>54</v>
      </c>
      <c r="J14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19</v>
      </c>
      <c r="K14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</v>
      </c>
    </row>
    <row r="15" spans="2:11" x14ac:dyDescent="0.3">
      <c r="B15" s="70">
        <v>18</v>
      </c>
      <c r="C15" s="2" t="str">
        <f>VLOOKUP(TBL_S5[[#This Row],[Nr 1]],TBL_Team[],2,FALSE)</f>
        <v>MiMoDanan</v>
      </c>
      <c r="D15" s="2" t="s">
        <v>6</v>
      </c>
      <c r="E15" s="2" t="str">
        <f>VLOOKUP(TBL_S5[[#This Row],[Nr 2]],TBL_Team[],2,FALSE)</f>
        <v>Sandeman 3</v>
      </c>
      <c r="F15" s="70">
        <v>11</v>
      </c>
      <c r="G15" s="27">
        <v>42</v>
      </c>
      <c r="H15" s="28">
        <v>54</v>
      </c>
      <c r="I15" s="62">
        <f xml:space="preserve"> ABS(TBL_S5[[#This Row],[IMP 2]]-TBL_S5[[#This Row],[IMP 1]])</f>
        <v>12</v>
      </c>
      <c r="J15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7.02</v>
      </c>
      <c r="K15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12.98</v>
      </c>
    </row>
    <row r="16" spans="2:11" x14ac:dyDescent="0.3">
      <c r="B16" s="70">
        <v>27</v>
      </c>
      <c r="C16" s="2" t="str">
        <f>VLOOKUP(TBL_S5[[#This Row],[Nr 1]],TBL_Team[],2,FALSE)</f>
        <v>Essense 1</v>
      </c>
      <c r="D16" s="2" t="s">
        <v>6</v>
      </c>
      <c r="E16" s="2" t="str">
        <f>VLOOKUP(TBL_S5[[#This Row],[Nr 2]],TBL_Team[],2,FALSE)</f>
        <v>Edegem 2</v>
      </c>
      <c r="F16" s="70">
        <v>45</v>
      </c>
      <c r="G16" s="27">
        <v>20</v>
      </c>
      <c r="H16" s="28">
        <v>38</v>
      </c>
      <c r="I16" s="62">
        <f xml:space="preserve"> ABS(TBL_S5[[#This Row],[IMP 2]]-TBL_S5[[#This Row],[IMP 1]])</f>
        <v>18</v>
      </c>
      <c r="J16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5.8000000000000007</v>
      </c>
      <c r="K16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14.2</v>
      </c>
    </row>
    <row r="17" spans="2:11" x14ac:dyDescent="0.3">
      <c r="B17" s="70">
        <v>1</v>
      </c>
      <c r="C17" s="2" t="str">
        <f>VLOOKUP(TBL_S5[[#This Row],[Nr 1]],TBL_Team[],2,FALSE)</f>
        <v>Boeckenberg MK</v>
      </c>
      <c r="D17" s="2" t="s">
        <v>6</v>
      </c>
      <c r="E17" s="2" t="str">
        <f>VLOOKUP(TBL_S5[[#This Row],[Nr 2]],TBL_Team[],2,FALSE)</f>
        <v>DOWNAGAIN ?</v>
      </c>
      <c r="F17" s="70">
        <v>31</v>
      </c>
      <c r="G17" s="27">
        <v>41</v>
      </c>
      <c r="H17" s="28">
        <v>52</v>
      </c>
      <c r="I17" s="62">
        <f xml:space="preserve"> ABS(TBL_S5[[#This Row],[IMP 2]]-TBL_S5[[#This Row],[IMP 1]])</f>
        <v>11</v>
      </c>
      <c r="J17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7.24</v>
      </c>
      <c r="K17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12.76</v>
      </c>
    </row>
    <row r="18" spans="2:11" x14ac:dyDescent="0.3">
      <c r="B18" s="70">
        <v>17</v>
      </c>
      <c r="C18" s="2" t="str">
        <f>VLOOKUP(TBL_S5[[#This Row],[Nr 1]],TBL_Team[],2,FALSE)</f>
        <v>Heusden 4</v>
      </c>
      <c r="D18" s="2" t="s">
        <v>6</v>
      </c>
      <c r="E18" s="2" t="str">
        <f>VLOOKUP(TBL_S5[[#This Row],[Nr 2]],TBL_Team[],2,FALSE)</f>
        <v>EBUROON 2</v>
      </c>
      <c r="F18" s="70">
        <v>34</v>
      </c>
      <c r="G18" s="27">
        <v>57</v>
      </c>
      <c r="H18" s="28">
        <v>46</v>
      </c>
      <c r="I18" s="62">
        <f xml:space="preserve"> ABS(TBL_S5[[#This Row],[IMP 2]]-TBL_S5[[#This Row],[IMP 1]])</f>
        <v>11</v>
      </c>
      <c r="J18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12.76</v>
      </c>
      <c r="K18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7.24</v>
      </c>
    </row>
    <row r="19" spans="2:11" x14ac:dyDescent="0.3">
      <c r="B19" s="70">
        <v>14</v>
      </c>
      <c r="C19" s="2" t="str">
        <f>VLOOKUP(TBL_S5[[#This Row],[Nr 1]],TBL_Team[],2,FALSE)</f>
        <v>Waregem 5</v>
      </c>
      <c r="D19" s="2" t="s">
        <v>6</v>
      </c>
      <c r="E19" s="2" t="str">
        <f>VLOOKUP(TBL_S5[[#This Row],[Nr 2]],TBL_Team[],2,FALSE)</f>
        <v>Bee 2</v>
      </c>
      <c r="F19" s="70">
        <v>20</v>
      </c>
      <c r="G19" s="27">
        <v>15</v>
      </c>
      <c r="H19" s="28">
        <v>58</v>
      </c>
      <c r="I19" s="62">
        <f xml:space="preserve"> ABS(TBL_S5[[#This Row],[IMP 2]]-TBL_S5[[#This Row],[IMP 1]])</f>
        <v>43</v>
      </c>
      <c r="J19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2.1000000000000014</v>
      </c>
      <c r="K19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17.899999999999999</v>
      </c>
    </row>
    <row r="20" spans="2:11" x14ac:dyDescent="0.3">
      <c r="B20" s="70">
        <v>29</v>
      </c>
      <c r="C20" s="2" t="str">
        <f>VLOOKUP(TBL_S5[[#This Row],[Nr 1]],TBL_Team[],2,FALSE)</f>
        <v>De Schlemielen</v>
      </c>
      <c r="D20" s="2" t="s">
        <v>6</v>
      </c>
      <c r="E20" s="2" t="str">
        <f>VLOOKUP(TBL_S5[[#This Row],[Nr 2]],TBL_Team[],2,FALSE)</f>
        <v>Nigranka</v>
      </c>
      <c r="F20" s="70">
        <v>33</v>
      </c>
      <c r="G20" s="27">
        <v>18</v>
      </c>
      <c r="H20" s="28">
        <v>41</v>
      </c>
      <c r="I20" s="62">
        <f xml:space="preserve"> ABS(TBL_S5[[#This Row],[IMP 2]]-TBL_S5[[#This Row],[IMP 1]])</f>
        <v>23</v>
      </c>
      <c r="J20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4.8900000000000006</v>
      </c>
      <c r="K20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15.11</v>
      </c>
    </row>
    <row r="21" spans="2:11" x14ac:dyDescent="0.3">
      <c r="B21" s="70">
        <v>12</v>
      </c>
      <c r="C21" s="2" t="str">
        <f>VLOOKUP(TBL_S5[[#This Row],[Nr 1]],TBL_Team[],2,FALSE)</f>
        <v>jeweetwelwie</v>
      </c>
      <c r="D21" s="2" t="s">
        <v>6</v>
      </c>
      <c r="E21" s="2" t="str">
        <f>VLOOKUP(TBL_S5[[#This Row],[Nr 2]],TBL_Team[],2,FALSE)</f>
        <v>De witte beren</v>
      </c>
      <c r="F21" s="70">
        <v>39</v>
      </c>
      <c r="G21" s="27">
        <v>17</v>
      </c>
      <c r="H21" s="28">
        <v>72</v>
      </c>
      <c r="I21" s="62">
        <f xml:space="preserve"> ABS(TBL_S5[[#This Row],[IMP 2]]-TBL_S5[[#This Row],[IMP 1]])</f>
        <v>55</v>
      </c>
      <c r="J21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0.91000000000000014</v>
      </c>
      <c r="K21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19.09</v>
      </c>
    </row>
    <row r="22" spans="2:11" x14ac:dyDescent="0.3">
      <c r="B22" s="70">
        <v>36</v>
      </c>
      <c r="C22" s="2" t="str">
        <f>VLOOKUP(TBL_S5[[#This Row],[Nr 1]],TBL_Team[],2,FALSE)</f>
        <v>Voer</v>
      </c>
      <c r="D22" s="2" t="s">
        <v>6</v>
      </c>
      <c r="E22" s="2" t="str">
        <f>VLOOKUP(TBL_S5[[#This Row],[Nr 2]],TBL_Team[],2,FALSE)</f>
        <v>Bridgevrienden</v>
      </c>
      <c r="F22" s="70">
        <v>21</v>
      </c>
      <c r="G22" s="27">
        <v>27</v>
      </c>
      <c r="H22" s="28">
        <v>39</v>
      </c>
      <c r="I22" s="62">
        <f xml:space="preserve"> ABS(TBL_S5[[#This Row],[IMP 2]]-TBL_S5[[#This Row],[IMP 1]])</f>
        <v>12</v>
      </c>
      <c r="J22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7.02</v>
      </c>
      <c r="K22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12.98</v>
      </c>
    </row>
    <row r="23" spans="2:11" x14ac:dyDescent="0.3">
      <c r="B23" s="70">
        <v>25</v>
      </c>
      <c r="C23" s="2" t="str">
        <f>VLOOKUP(TBL_S5[[#This Row],[Nr 1]],TBL_Team[],2,FALSE)</f>
        <v>Bree</v>
      </c>
      <c r="D23" s="2" t="s">
        <v>6</v>
      </c>
      <c r="E23" s="2" t="str">
        <f>VLOOKUP(TBL_S5[[#This Row],[Nr 2]],TBL_Team[],2,FALSE)</f>
        <v>Sandeman7</v>
      </c>
      <c r="F23" s="70">
        <v>41</v>
      </c>
      <c r="G23" s="27">
        <v>44</v>
      </c>
      <c r="H23" s="28">
        <v>23</v>
      </c>
      <c r="I23" s="62">
        <f xml:space="preserve"> ABS(TBL_S5[[#This Row],[IMP 2]]-TBL_S5[[#This Row],[IMP 1]])</f>
        <v>21</v>
      </c>
      <c r="J23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14.76</v>
      </c>
      <c r="K23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5.24</v>
      </c>
    </row>
    <row r="24" spans="2:11" x14ac:dyDescent="0.3">
      <c r="B24" s="70">
        <v>9</v>
      </c>
      <c r="C24" s="2" t="str">
        <f>VLOOKUP(TBL_S5[[#This Row],[Nr 1]],TBL_Team[],2,FALSE)</f>
        <v>De Cuatros</v>
      </c>
      <c r="D24" s="2" t="s">
        <v>6</v>
      </c>
      <c r="E24" s="2" t="str">
        <f>VLOOKUP(TBL_S5[[#This Row],[Nr 2]],TBL_Team[],2,FALSE)</f>
        <v>Edegem 1</v>
      </c>
      <c r="F24" s="70">
        <v>44</v>
      </c>
      <c r="G24" s="27">
        <v>44</v>
      </c>
      <c r="H24" s="28">
        <v>25</v>
      </c>
      <c r="I24" s="62">
        <f xml:space="preserve"> ABS(TBL_S5[[#This Row],[IMP 2]]-TBL_S5[[#This Row],[IMP 1]])</f>
        <v>19</v>
      </c>
      <c r="J24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14.39</v>
      </c>
      <c r="K24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5.6099999999999994</v>
      </c>
    </row>
    <row r="25" spans="2:11" x14ac:dyDescent="0.3">
      <c r="B25" s="70">
        <v>43</v>
      </c>
      <c r="C25" s="2" t="str">
        <f>VLOOKUP(TBL_S5[[#This Row],[Nr 1]],TBL_Team[],2,FALSE)</f>
        <v>Last minute</v>
      </c>
      <c r="D25" s="2" t="s">
        <v>6</v>
      </c>
      <c r="E25" s="2" t="str">
        <f>VLOOKUP(TBL_S5[[#This Row],[Nr 2]],TBL_Team[],2,FALSE)</f>
        <v>Sandeman 6</v>
      </c>
      <c r="F25" s="70">
        <v>38</v>
      </c>
      <c r="G25" s="27">
        <v>16</v>
      </c>
      <c r="H25" s="28">
        <v>27</v>
      </c>
      <c r="I25" s="62">
        <f xml:space="preserve"> ABS(TBL_S5[[#This Row],[IMP 2]]-TBL_S5[[#This Row],[IMP 1]])</f>
        <v>11</v>
      </c>
      <c r="J25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7.24</v>
      </c>
      <c r="K25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12.76</v>
      </c>
    </row>
    <row r="26" spans="2:11" x14ac:dyDescent="0.3">
      <c r="B26" s="70">
        <v>8</v>
      </c>
      <c r="C26" s="2" t="str">
        <f>VLOOKUP(TBL_S5[[#This Row],[Nr 1]],TBL_Team[],2,FALSE)</f>
        <v>Tom Pousse</v>
      </c>
      <c r="D26" s="2" t="s">
        <v>6</v>
      </c>
      <c r="E26" s="2" t="str">
        <f>VLOOKUP(TBL_S5[[#This Row],[Nr 2]],TBL_Team[],2,FALSE)</f>
        <v>Sandeman 5</v>
      </c>
      <c r="F26" s="70">
        <v>15</v>
      </c>
      <c r="G26" s="27">
        <v>44</v>
      </c>
      <c r="H26" s="28">
        <v>53</v>
      </c>
      <c r="I26" s="62">
        <f xml:space="preserve"> ABS(TBL_S5[[#This Row],[IMP 2]]-TBL_S5[[#This Row],[IMP 1]])</f>
        <v>9</v>
      </c>
      <c r="J26" s="59">
        <f xml:space="preserve"> IF(ISBLANK(TBL_S5[[#This Row],[IMP 1]]), "", IF(TBL_S5[[#This Row],[IMP 1]]&gt;TBL_S5[[#This Row],[IMP 2]], VLOOKUP(TBL_S5[[#This Row],[IMP Diff]],TBL_VP[], 2, TRUE), VLOOKUP(TBL_S5[[#This Row],[IMP Diff]],TBL_VP[], 3, TRUE)))</f>
        <v>7.6999999999999993</v>
      </c>
      <c r="K26" s="60">
        <f xml:space="preserve"> IF(ISBLANK(TBL_S5[[#This Row],[IMP 2]]), "", IF(TBL_S5[[#This Row],[IMP 2]]&gt;TBL_S5[[#This Row],[IMP 1]], VLOOKUP(TBL_S5[[#This Row],[IMP Diff]],TBL_VP[], 2, TRUE), VLOOKUP(TBL_S5[[#This Row],[IMP Diff]],TBL_VP[], 3, TRUE)))</f>
        <v>12.3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432FD-3C6E-4131-A83D-50B5C8DFCD36}">
  <dimension ref="B3:K26"/>
  <sheetViews>
    <sheetView workbookViewId="0">
      <selection activeCell="I19" sqref="I19"/>
    </sheetView>
  </sheetViews>
  <sheetFormatPr defaultColWidth="9.33203125" defaultRowHeight="14.4" x14ac:dyDescent="0.3"/>
  <cols>
    <col min="2" max="2" width="4.88671875" bestFit="1" customWidth="1"/>
    <col min="3" max="3" width="31.6640625" customWidth="1"/>
    <col min="4" max="4" width="2.88671875" bestFit="1" customWidth="1"/>
    <col min="5" max="5" width="31.664062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9" customFormat="1" ht="15.6" x14ac:dyDescent="0.3">
      <c r="B3" s="8" t="s">
        <v>702</v>
      </c>
      <c r="C3" s="8" t="s">
        <v>704</v>
      </c>
      <c r="D3" s="8" t="s">
        <v>5</v>
      </c>
      <c r="E3" s="8" t="s">
        <v>705</v>
      </c>
      <c r="F3" s="8" t="s">
        <v>703</v>
      </c>
      <c r="G3" s="24" t="s">
        <v>0</v>
      </c>
      <c r="H3" s="25" t="s">
        <v>1</v>
      </c>
      <c r="I3" s="61" t="s">
        <v>4</v>
      </c>
      <c r="J3" s="58" t="s">
        <v>2</v>
      </c>
      <c r="K3" s="58" t="s">
        <v>3</v>
      </c>
    </row>
    <row r="4" spans="2:11" x14ac:dyDescent="0.3">
      <c r="B4" s="70">
        <v>28</v>
      </c>
      <c r="C4" s="2" t="str">
        <f>VLOOKUP(TBL_S4[[#This Row],[Nr 1]],TBL_Team[],2,FALSE)</f>
        <v>Essense 2</v>
      </c>
      <c r="D4" s="2" t="s">
        <v>6</v>
      </c>
      <c r="E4" s="2" t="str">
        <f>VLOOKUP(TBL_S4[[#This Row],[Nr 2]],TBL_Team[],2,FALSE)</f>
        <v>Waasmunster 1</v>
      </c>
      <c r="F4" s="70">
        <v>16</v>
      </c>
      <c r="G4" s="27">
        <v>54</v>
      </c>
      <c r="H4" s="28">
        <v>79</v>
      </c>
      <c r="I4" s="62">
        <f xml:space="preserve"> ABS(TBL_S4[[#This Row],[IMP 2]]-TBL_S4[[#This Row],[IMP 1]])</f>
        <v>25</v>
      </c>
      <c r="J4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4.5500000000000007</v>
      </c>
      <c r="K4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15.45</v>
      </c>
    </row>
    <row r="5" spans="2:11" x14ac:dyDescent="0.3">
      <c r="B5" s="70">
        <v>7</v>
      </c>
      <c r="C5" s="2" t="str">
        <f>VLOOKUP(TBL_S4[[#This Row],[Nr 1]],TBL_Team[],2,FALSE)</f>
        <v>Riviera 9</v>
      </c>
      <c r="D5" s="2" t="s">
        <v>6</v>
      </c>
      <c r="E5" s="2" t="str">
        <f>VLOOKUP(TBL_S4[[#This Row],[Nr 2]],TBL_Team[],2,FALSE)</f>
        <v>De plankierkaarters</v>
      </c>
      <c r="F5" s="70">
        <v>4</v>
      </c>
      <c r="G5" s="27">
        <v>67</v>
      </c>
      <c r="H5" s="28">
        <v>65</v>
      </c>
      <c r="I5" s="62">
        <f xml:space="preserve"> ABS(TBL_S4[[#This Row],[IMP 2]]-TBL_S4[[#This Row],[IMP 1]])</f>
        <v>2</v>
      </c>
      <c r="J5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10.55</v>
      </c>
      <c r="K5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9.4499999999999993</v>
      </c>
    </row>
    <row r="6" spans="2:11" x14ac:dyDescent="0.3">
      <c r="B6" s="70">
        <v>35</v>
      </c>
      <c r="C6" s="2" t="str">
        <f>VLOOKUP(TBL_S4[[#This Row],[Nr 1]],TBL_Team[],2,FALSE)</f>
        <v>Houtland</v>
      </c>
      <c r="D6" s="2" t="s">
        <v>6</v>
      </c>
      <c r="E6" s="2" t="str">
        <f>VLOOKUP(TBL_S4[[#This Row],[Nr 2]],TBL_Team[],2,FALSE)</f>
        <v>Roeselare 2</v>
      </c>
      <c r="F6" s="70">
        <v>22</v>
      </c>
      <c r="G6" s="27">
        <v>38</v>
      </c>
      <c r="H6" s="28">
        <v>76</v>
      </c>
      <c r="I6" s="62">
        <f xml:space="preserve"> ABS(TBL_S4[[#This Row],[IMP 2]]-TBL_S4[[#This Row],[IMP 1]])</f>
        <v>38</v>
      </c>
      <c r="J6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2.6799999999999997</v>
      </c>
      <c r="K6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17.32</v>
      </c>
    </row>
    <row r="7" spans="2:11" x14ac:dyDescent="0.3">
      <c r="B7" s="70">
        <v>42</v>
      </c>
      <c r="C7" s="2" t="str">
        <f>VLOOKUP(TBL_S4[[#This Row],[Nr 1]],TBL_Team[],2,FALSE)</f>
        <v>Goldstar</v>
      </c>
      <c r="D7" s="2" t="s">
        <v>6</v>
      </c>
      <c r="E7" s="3" t="str">
        <f>VLOOKUP(TBL_S4[[#This Row],[Nr 2]],TBL_Team[],2,FALSE)</f>
        <v>Kollebloem Puurs</v>
      </c>
      <c r="F7" s="70">
        <v>24</v>
      </c>
      <c r="G7" s="27">
        <v>51</v>
      </c>
      <c r="H7" s="28">
        <v>60</v>
      </c>
      <c r="I7" s="62">
        <f xml:space="preserve"> ABS(TBL_S4[[#This Row],[IMP 2]]-TBL_S4[[#This Row],[IMP 1]])</f>
        <v>9</v>
      </c>
      <c r="J7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7.6999999999999993</v>
      </c>
      <c r="K7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12.3</v>
      </c>
    </row>
    <row r="8" spans="2:11" x14ac:dyDescent="0.3">
      <c r="B8" s="70">
        <v>19</v>
      </c>
      <c r="C8" s="2" t="str">
        <f>VLOOKUP(TBL_S4[[#This Row],[Nr 1]],TBL_Team[],2,FALSE)</f>
        <v>Bee 1</v>
      </c>
      <c r="D8" s="2" t="s">
        <v>6</v>
      </c>
      <c r="E8" s="3" t="str">
        <f>VLOOKUP(TBL_S4[[#This Row],[Nr 2]],TBL_Team[],2,FALSE)</f>
        <v>Sandeman 3</v>
      </c>
      <c r="F8" s="70">
        <v>11</v>
      </c>
      <c r="G8" s="27">
        <v>84</v>
      </c>
      <c r="H8" s="28">
        <v>24</v>
      </c>
      <c r="I8" s="62">
        <f xml:space="preserve"> ABS(TBL_S4[[#This Row],[IMP 2]]-TBL_S4[[#This Row],[IMP 1]])</f>
        <v>60</v>
      </c>
      <c r="J8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19.489999999999998</v>
      </c>
      <c r="K8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0.51000000000000156</v>
      </c>
    </row>
    <row r="9" spans="2:11" x14ac:dyDescent="0.3">
      <c r="B9" s="70">
        <v>45</v>
      </c>
      <c r="C9" s="2" t="str">
        <f>VLOOKUP(TBL_S4[[#This Row],[Nr 1]],TBL_Team[],2,FALSE)</f>
        <v>Edegem 2</v>
      </c>
      <c r="D9" s="2" t="s">
        <v>6</v>
      </c>
      <c r="E9" s="3" t="str">
        <f>VLOOKUP(TBL_S4[[#This Row],[Nr 2]],TBL_Team[],2,FALSE)</f>
        <v>G.L.A.M.</v>
      </c>
      <c r="F9" s="70">
        <v>2</v>
      </c>
      <c r="G9" s="27">
        <v>33</v>
      </c>
      <c r="H9" s="28">
        <v>82</v>
      </c>
      <c r="I9" s="62">
        <f xml:space="preserve"> ABS(TBL_S4[[#This Row],[IMP 2]]-TBL_S4[[#This Row],[IMP 1]])</f>
        <v>49</v>
      </c>
      <c r="J9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1.4699999999999989</v>
      </c>
      <c r="K9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18.53</v>
      </c>
    </row>
    <row r="10" spans="2:11" x14ac:dyDescent="0.3">
      <c r="B10" s="70">
        <v>10</v>
      </c>
      <c r="C10" s="2" t="str">
        <f>VLOOKUP(TBL_S4[[#This Row],[Nr 1]],TBL_Team[],2,FALSE)</f>
        <v>KATMOTTEPASSE</v>
      </c>
      <c r="D10" s="2" t="s">
        <v>6</v>
      </c>
      <c r="E10" s="3" t="str">
        <f>VLOOKUP(TBL_S4[[#This Row],[Nr 2]],TBL_Team[],2,FALSE)</f>
        <v>Forum 3</v>
      </c>
      <c r="F10" s="70">
        <v>32</v>
      </c>
      <c r="G10" s="27">
        <v>19</v>
      </c>
      <c r="H10" s="28">
        <v>54</v>
      </c>
      <c r="I10" s="62">
        <f xml:space="preserve"> ABS(TBL_S4[[#This Row],[IMP 2]]-TBL_S4[[#This Row],[IMP 1]])</f>
        <v>35</v>
      </c>
      <c r="J10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3.0700000000000003</v>
      </c>
      <c r="K10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16.93</v>
      </c>
    </row>
    <row r="11" spans="2:11" x14ac:dyDescent="0.3">
      <c r="B11" s="70">
        <v>26</v>
      </c>
      <c r="C11" s="2" t="str">
        <f>VLOOKUP(TBL_S4[[#This Row],[Nr 1]],TBL_Team[],2,FALSE)</f>
        <v>ANPAROJO</v>
      </c>
      <c r="D11" s="2" t="s">
        <v>6</v>
      </c>
      <c r="E11" s="2" t="str">
        <f>VLOOKUP(TBL_S4[[#This Row],[Nr 2]],TBL_Team[],2,FALSE)</f>
        <v>Westrand 3</v>
      </c>
      <c r="F11" s="70">
        <v>30</v>
      </c>
      <c r="G11" s="27">
        <v>70</v>
      </c>
      <c r="H11" s="28">
        <v>55</v>
      </c>
      <c r="I11" s="62">
        <f xml:space="preserve"> ABS(TBL_S4[[#This Row],[IMP 2]]-TBL_S4[[#This Row],[IMP 1]])</f>
        <v>15</v>
      </c>
      <c r="J11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13.61</v>
      </c>
      <c r="K11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6.3900000000000006</v>
      </c>
    </row>
    <row r="12" spans="2:11" x14ac:dyDescent="0.3">
      <c r="B12" s="70">
        <v>46</v>
      </c>
      <c r="C12" s="2" t="str">
        <f>VLOOKUP(TBL_S4[[#This Row],[Nr 1]],TBL_Team[],2,FALSE)</f>
        <v>Pieterman 6</v>
      </c>
      <c r="D12" s="2" t="s">
        <v>6</v>
      </c>
      <c r="E12" s="2" t="str">
        <f>VLOOKUP(TBL_S4[[#This Row],[Nr 2]],TBL_Team[],2,FALSE)</f>
        <v>De Wevers</v>
      </c>
      <c r="F12" s="70">
        <v>5</v>
      </c>
      <c r="G12" s="27">
        <v>37</v>
      </c>
      <c r="H12" s="28">
        <v>38</v>
      </c>
      <c r="I12" s="62">
        <f xml:space="preserve"> ABS(TBL_S4[[#This Row],[IMP 2]]-TBL_S4[[#This Row],[IMP 1]])</f>
        <v>1</v>
      </c>
      <c r="J12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9.7200000000000006</v>
      </c>
      <c r="K12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10.28</v>
      </c>
    </row>
    <row r="13" spans="2:11" x14ac:dyDescent="0.3">
      <c r="B13" s="70">
        <v>37</v>
      </c>
      <c r="C13" s="2" t="str">
        <f>VLOOKUP(TBL_S4[[#This Row],[Nr 1]],TBL_Team[],2,FALSE)</f>
        <v>REGENBOOG</v>
      </c>
      <c r="D13" s="2" t="s">
        <v>6</v>
      </c>
      <c r="E13" s="2" t="str">
        <f>VLOOKUP(TBL_S4[[#This Row],[Nr 2]],TBL_Team[],2,FALSE)</f>
        <v>Waregem 5</v>
      </c>
      <c r="F13" s="70">
        <v>14</v>
      </c>
      <c r="G13" s="27">
        <v>51</v>
      </c>
      <c r="H13" s="28">
        <v>17</v>
      </c>
      <c r="I13" s="62">
        <f xml:space="preserve"> ABS(TBL_S4[[#This Row],[IMP 2]]-TBL_S4[[#This Row],[IMP 1]])</f>
        <v>34</v>
      </c>
      <c r="J13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16.8</v>
      </c>
      <c r="K13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3.1999999999999993</v>
      </c>
    </row>
    <row r="14" spans="2:11" x14ac:dyDescent="0.3">
      <c r="B14" s="70">
        <v>31</v>
      </c>
      <c r="C14" s="2" t="str">
        <f>VLOOKUP(TBL_S4[[#This Row],[Nr 1]],TBL_Team[],2,FALSE)</f>
        <v>DOWNAGAIN ?</v>
      </c>
      <c r="D14" s="2" t="s">
        <v>6</v>
      </c>
      <c r="E14" s="2" t="str">
        <f>VLOOKUP(TBL_S4[[#This Row],[Nr 2]],TBL_Team[],2,FALSE)</f>
        <v>Boeckenberg 2</v>
      </c>
      <c r="F14" s="70">
        <v>6</v>
      </c>
      <c r="G14" s="27">
        <v>28</v>
      </c>
      <c r="H14" s="28">
        <v>74</v>
      </c>
      <c r="I14" s="62">
        <f xml:space="preserve"> ABS(TBL_S4[[#This Row],[IMP 2]]-TBL_S4[[#This Row],[IMP 1]])</f>
        <v>46</v>
      </c>
      <c r="J14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1.7699999999999996</v>
      </c>
      <c r="K14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18.23</v>
      </c>
    </row>
    <row r="15" spans="2:11" x14ac:dyDescent="0.3">
      <c r="B15" s="70">
        <v>13</v>
      </c>
      <c r="C15" s="2" t="str">
        <f>VLOOKUP(TBL_S4[[#This Row],[Nr 1]],TBL_Team[],2,FALSE)</f>
        <v>Heusden 3</v>
      </c>
      <c r="D15" s="2" t="s">
        <v>6</v>
      </c>
      <c r="E15" s="2" t="str">
        <f>VLOOKUP(TBL_S4[[#This Row],[Nr 2]],TBL_Team[],2,FALSE)</f>
        <v>EBUROON 2</v>
      </c>
      <c r="F15" s="70">
        <v>34</v>
      </c>
      <c r="G15" s="27">
        <v>45</v>
      </c>
      <c r="H15" s="28">
        <v>23</v>
      </c>
      <c r="I15" s="62">
        <f xml:space="preserve"> ABS(TBL_S4[[#This Row],[IMP 2]]-TBL_S4[[#This Row],[IMP 1]])</f>
        <v>22</v>
      </c>
      <c r="J15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14.94</v>
      </c>
      <c r="K15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5.0600000000000005</v>
      </c>
    </row>
    <row r="16" spans="2:11" x14ac:dyDescent="0.3">
      <c r="B16" s="70">
        <v>17</v>
      </c>
      <c r="C16" s="2" t="str">
        <f>VLOOKUP(TBL_S4[[#This Row],[Nr 1]],TBL_Team[],2,FALSE)</f>
        <v>Heusden 4</v>
      </c>
      <c r="D16" s="2" t="s">
        <v>6</v>
      </c>
      <c r="E16" s="2" t="str">
        <f>VLOOKUP(TBL_S4[[#This Row],[Nr 2]],TBL_Team[],2,FALSE)</f>
        <v>Heusden 2</v>
      </c>
      <c r="F16" s="70">
        <v>23</v>
      </c>
      <c r="G16" s="27">
        <v>29</v>
      </c>
      <c r="H16" s="28">
        <v>53</v>
      </c>
      <c r="I16" s="62">
        <f xml:space="preserve"> ABS(TBL_S4[[#This Row],[IMP 2]]-TBL_S4[[#This Row],[IMP 1]])</f>
        <v>24</v>
      </c>
      <c r="J16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4.7200000000000006</v>
      </c>
      <c r="K16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15.28</v>
      </c>
    </row>
    <row r="17" spans="2:11" x14ac:dyDescent="0.3">
      <c r="B17" s="70">
        <v>33</v>
      </c>
      <c r="C17" s="2" t="str">
        <f>VLOOKUP(TBL_S4[[#This Row],[Nr 1]],TBL_Team[],2,FALSE)</f>
        <v>Nigranka</v>
      </c>
      <c r="D17" s="2" t="s">
        <v>6</v>
      </c>
      <c r="E17" s="2" t="str">
        <f>VLOOKUP(TBL_S4[[#This Row],[Nr 2]],TBL_Team[],2,FALSE)</f>
        <v>W8ebeke</v>
      </c>
      <c r="F17" s="70">
        <v>40</v>
      </c>
      <c r="G17" s="27">
        <v>17</v>
      </c>
      <c r="H17" s="28">
        <v>53</v>
      </c>
      <c r="I17" s="62">
        <f xml:space="preserve"> ABS(TBL_S4[[#This Row],[IMP 2]]-TBL_S4[[#This Row],[IMP 1]])</f>
        <v>36</v>
      </c>
      <c r="J17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2.9400000000000013</v>
      </c>
      <c r="K17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17.059999999999999</v>
      </c>
    </row>
    <row r="18" spans="2:11" x14ac:dyDescent="0.3">
      <c r="B18" s="70">
        <v>27</v>
      </c>
      <c r="C18" s="2" t="str">
        <f>VLOOKUP(TBL_S4[[#This Row],[Nr 1]],TBL_Team[],2,FALSE)</f>
        <v>Essense 1</v>
      </c>
      <c r="D18" s="2" t="s">
        <v>6</v>
      </c>
      <c r="E18" s="2" t="str">
        <f>VLOOKUP(TBL_S4[[#This Row],[Nr 2]],TBL_Team[],2,FALSE)</f>
        <v>jeweetwelwie</v>
      </c>
      <c r="F18" s="70">
        <v>12</v>
      </c>
      <c r="G18" s="27">
        <v>30</v>
      </c>
      <c r="H18" s="28">
        <v>13</v>
      </c>
      <c r="I18" s="62">
        <f xml:space="preserve"> ABS(TBL_S4[[#This Row],[IMP 2]]-TBL_S4[[#This Row],[IMP 1]])</f>
        <v>17</v>
      </c>
      <c r="J18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14.01</v>
      </c>
      <c r="K18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5.99</v>
      </c>
    </row>
    <row r="19" spans="2:11" x14ac:dyDescent="0.3">
      <c r="B19" s="70">
        <v>18</v>
      </c>
      <c r="C19" s="2" t="str">
        <f>VLOOKUP(TBL_S4[[#This Row],[Nr 1]],TBL_Team[],2,FALSE)</f>
        <v>MiMoDanan</v>
      </c>
      <c r="D19" s="2" t="s">
        <v>6</v>
      </c>
      <c r="E19" s="2" t="str">
        <f>VLOOKUP(TBL_S4[[#This Row],[Nr 2]],TBL_Team[],2,FALSE)</f>
        <v>Bridgevrienden</v>
      </c>
      <c r="F19" s="70">
        <v>21</v>
      </c>
      <c r="G19" s="27">
        <v>32</v>
      </c>
      <c r="H19" s="28">
        <v>60</v>
      </c>
      <c r="I19" s="62">
        <f xml:space="preserve"> ABS(TBL_S4[[#This Row],[IMP 2]]-TBL_S4[[#This Row],[IMP 1]])</f>
        <v>28</v>
      </c>
      <c r="J19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4.07</v>
      </c>
      <c r="K19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15.93</v>
      </c>
    </row>
    <row r="20" spans="2:11" x14ac:dyDescent="0.3">
      <c r="B20" s="70">
        <v>39</v>
      </c>
      <c r="C20" s="2" t="str">
        <f>VLOOKUP(TBL_S4[[#This Row],[Nr 1]],TBL_Team[],2,FALSE)</f>
        <v>De witte beren</v>
      </c>
      <c r="D20" s="2" t="s">
        <v>6</v>
      </c>
      <c r="E20" s="2" t="str">
        <f>VLOOKUP(TBL_S4[[#This Row],[Nr 2]],TBL_Team[],2,FALSE)</f>
        <v>De Schlemielen</v>
      </c>
      <c r="F20" s="70">
        <v>29</v>
      </c>
      <c r="G20" s="27">
        <v>40</v>
      </c>
      <c r="H20" s="28">
        <v>53</v>
      </c>
      <c r="I20" s="62">
        <f xml:space="preserve"> ABS(TBL_S4[[#This Row],[IMP 2]]-TBL_S4[[#This Row],[IMP 1]])</f>
        <v>13</v>
      </c>
      <c r="J20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6.8000000000000007</v>
      </c>
      <c r="K20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13.2</v>
      </c>
    </row>
    <row r="21" spans="2:11" x14ac:dyDescent="0.3">
      <c r="B21" s="70">
        <v>3</v>
      </c>
      <c r="C21" s="2" t="str">
        <f>VLOOKUP(TBL_S4[[#This Row],[Nr 1]],TBL_Team[],2,FALSE)</f>
        <v>Geel 2</v>
      </c>
      <c r="D21" s="2" t="s">
        <v>6</v>
      </c>
      <c r="E21" s="2" t="str">
        <f>VLOOKUP(TBL_S4[[#This Row],[Nr 2]],TBL_Team[],2,FALSE)</f>
        <v>Edegem 1</v>
      </c>
      <c r="F21" s="70">
        <v>44</v>
      </c>
      <c r="G21" s="27">
        <v>113</v>
      </c>
      <c r="H21" s="28">
        <v>14</v>
      </c>
      <c r="I21" s="62">
        <f xml:space="preserve"> ABS(TBL_S4[[#This Row],[IMP 2]]-TBL_S4[[#This Row],[IMP 1]])</f>
        <v>99</v>
      </c>
      <c r="J21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20</v>
      </c>
      <c r="K21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0</v>
      </c>
    </row>
    <row r="22" spans="2:11" x14ac:dyDescent="0.3">
      <c r="B22" s="70">
        <v>20</v>
      </c>
      <c r="C22" s="2" t="str">
        <f>VLOOKUP(TBL_S4[[#This Row],[Nr 1]],TBL_Team[],2,FALSE)</f>
        <v>Bee 2</v>
      </c>
      <c r="D22" s="2" t="s">
        <v>6</v>
      </c>
      <c r="E22" s="2" t="str">
        <f>VLOOKUP(TBL_S4[[#This Row],[Nr 2]],TBL_Team[],2,FALSE)</f>
        <v>Bree</v>
      </c>
      <c r="F22" s="70">
        <v>25</v>
      </c>
      <c r="G22" s="27">
        <v>59</v>
      </c>
      <c r="H22" s="28">
        <v>45</v>
      </c>
      <c r="I22" s="62">
        <f xml:space="preserve"> ABS(TBL_S4[[#This Row],[IMP 2]]-TBL_S4[[#This Row],[IMP 1]])</f>
        <v>14</v>
      </c>
      <c r="J22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13.41</v>
      </c>
      <c r="K22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6.59</v>
      </c>
    </row>
    <row r="23" spans="2:11" x14ac:dyDescent="0.3">
      <c r="B23" s="70">
        <v>1</v>
      </c>
      <c r="C23" s="2" t="str">
        <f>VLOOKUP(TBL_S4[[#This Row],[Nr 1]],TBL_Team[],2,FALSE)</f>
        <v>Boeckenberg MK</v>
      </c>
      <c r="D23" s="2" t="s">
        <v>6</v>
      </c>
      <c r="E23" s="2" t="str">
        <f>VLOOKUP(TBL_S4[[#This Row],[Nr 2]],TBL_Team[],2,FALSE)</f>
        <v>Sandeman 6</v>
      </c>
      <c r="F23" s="70">
        <v>38</v>
      </c>
      <c r="G23" s="27">
        <v>60</v>
      </c>
      <c r="H23" s="28">
        <v>15</v>
      </c>
      <c r="I23" s="62">
        <f xml:space="preserve"> ABS(TBL_S4[[#This Row],[IMP 2]]-TBL_S4[[#This Row],[IMP 1]])</f>
        <v>45</v>
      </c>
      <c r="J23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18.12</v>
      </c>
      <c r="K23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1.879999999999999</v>
      </c>
    </row>
    <row r="24" spans="2:11" x14ac:dyDescent="0.3">
      <c r="B24" s="70">
        <v>9</v>
      </c>
      <c r="C24" s="2" t="str">
        <f>VLOOKUP(TBL_S4[[#This Row],[Nr 1]],TBL_Team[],2,FALSE)</f>
        <v>De Cuatros</v>
      </c>
      <c r="D24" s="2" t="s">
        <v>6</v>
      </c>
      <c r="E24" s="2" t="str">
        <f>VLOOKUP(TBL_S4[[#This Row],[Nr 2]],TBL_Team[],2,FALSE)</f>
        <v>Voer</v>
      </c>
      <c r="F24" s="70">
        <v>36</v>
      </c>
      <c r="G24" s="27">
        <v>48</v>
      </c>
      <c r="H24" s="28">
        <v>59</v>
      </c>
      <c r="I24" s="62">
        <f xml:space="preserve"> ABS(TBL_S4[[#This Row],[IMP 2]]-TBL_S4[[#This Row],[IMP 1]])</f>
        <v>11</v>
      </c>
      <c r="J24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7.24</v>
      </c>
      <c r="K24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12.76</v>
      </c>
    </row>
    <row r="25" spans="2:11" x14ac:dyDescent="0.3">
      <c r="B25" s="70">
        <v>8</v>
      </c>
      <c r="C25" s="2" t="str">
        <f>VLOOKUP(TBL_S4[[#This Row],[Nr 1]],TBL_Team[],2,FALSE)</f>
        <v>Tom Pousse</v>
      </c>
      <c r="D25" s="2" t="s">
        <v>6</v>
      </c>
      <c r="E25" s="2" t="str">
        <f>VLOOKUP(TBL_S4[[#This Row],[Nr 2]],TBL_Team[],2,FALSE)</f>
        <v>Last minute</v>
      </c>
      <c r="F25" s="70">
        <v>43</v>
      </c>
      <c r="G25" s="27">
        <f xml:space="preserve"> 19+32</f>
        <v>51</v>
      </c>
      <c r="H25" s="28">
        <f xml:space="preserve"> 44+12</f>
        <v>56</v>
      </c>
      <c r="I25" s="62">
        <f xml:space="preserve"> ABS(TBL_S4[[#This Row],[IMP 2]]-TBL_S4[[#This Row],[IMP 1]])</f>
        <v>5</v>
      </c>
      <c r="J25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8.66</v>
      </c>
      <c r="K25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11.34</v>
      </c>
    </row>
    <row r="26" spans="2:11" x14ac:dyDescent="0.3">
      <c r="B26" s="70">
        <v>41</v>
      </c>
      <c r="C26" s="2" t="str">
        <f>VLOOKUP(TBL_S4[[#This Row],[Nr 1]],TBL_Team[],2,FALSE)</f>
        <v>Sandeman7</v>
      </c>
      <c r="D26" s="2" t="s">
        <v>6</v>
      </c>
      <c r="E26" s="2" t="str">
        <f>VLOOKUP(TBL_S4[[#This Row],[Nr 2]],TBL_Team[],2,FALSE)</f>
        <v>Sandeman 5</v>
      </c>
      <c r="F26" s="70">
        <v>15</v>
      </c>
      <c r="G26" s="27">
        <v>60</v>
      </c>
      <c r="H26" s="28">
        <v>29</v>
      </c>
      <c r="I26" s="62">
        <f xml:space="preserve"> ABS(TBL_S4[[#This Row],[IMP 2]]-TBL_S4[[#This Row],[IMP 1]])</f>
        <v>31</v>
      </c>
      <c r="J26" s="59">
        <f xml:space="preserve"> IF(ISBLANK(TBL_S4[[#This Row],[IMP 1]]), "", IF(TBL_S4[[#This Row],[IMP 1]]&gt;TBL_S4[[#This Row],[IMP 2]], VLOOKUP(TBL_S4[[#This Row],[IMP Diff]],TBL_VP[], 2, TRUE), VLOOKUP(TBL_S4[[#This Row],[IMP Diff]],TBL_VP[], 3, TRUE)))</f>
        <v>16.38</v>
      </c>
      <c r="K26" s="60">
        <f xml:space="preserve"> IF(ISBLANK(TBL_S4[[#This Row],[IMP 2]]), "", IF(TBL_S4[[#This Row],[IMP 2]]&gt;TBL_S4[[#This Row],[IMP 1]], VLOOKUP(TBL_S4[[#This Row],[IMP Diff]],TBL_VP[], 2, TRUE), VLOOKUP(TBL_S4[[#This Row],[IMP Diff]],TBL_VP[], 3, TRUE)))</f>
        <v>3.620000000000001</v>
      </c>
    </row>
  </sheetData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71C9BA-F942-4E63-87D6-9C29824437C2}">
  <dimension ref="B3:K26"/>
  <sheetViews>
    <sheetView workbookViewId="0">
      <selection activeCell="I19" sqref="I19"/>
    </sheetView>
  </sheetViews>
  <sheetFormatPr defaultColWidth="9.33203125" defaultRowHeight="14.4" x14ac:dyDescent="0.3"/>
  <cols>
    <col min="2" max="2" width="4.88671875" bestFit="1" customWidth="1"/>
    <col min="3" max="3" width="31.6640625" customWidth="1"/>
    <col min="4" max="4" width="2.88671875" bestFit="1" customWidth="1"/>
    <col min="5" max="5" width="31.6640625" customWidth="1"/>
    <col min="6" max="6" width="4.88671875" bestFit="1" customWidth="1"/>
    <col min="7" max="8" width="6.33203125" bestFit="1" customWidth="1"/>
    <col min="9" max="9" width="8.5546875" bestFit="1" customWidth="1"/>
    <col min="10" max="11" width="6" bestFit="1" customWidth="1"/>
  </cols>
  <sheetData>
    <row r="3" spans="2:11" s="9" customFormat="1" ht="15.6" x14ac:dyDescent="0.3">
      <c r="B3" s="8" t="s">
        <v>702</v>
      </c>
      <c r="C3" s="8" t="s">
        <v>704</v>
      </c>
      <c r="D3" s="8" t="s">
        <v>5</v>
      </c>
      <c r="E3" s="8" t="s">
        <v>705</v>
      </c>
      <c r="F3" s="8" t="s">
        <v>703</v>
      </c>
      <c r="G3" s="24" t="s">
        <v>0</v>
      </c>
      <c r="H3" s="25" t="s">
        <v>1</v>
      </c>
      <c r="I3" s="61" t="s">
        <v>4</v>
      </c>
      <c r="J3" s="58" t="s">
        <v>2</v>
      </c>
      <c r="K3" s="58" t="s">
        <v>3</v>
      </c>
    </row>
    <row r="4" spans="2:11" x14ac:dyDescent="0.3">
      <c r="B4" s="70">
        <v>4</v>
      </c>
      <c r="C4" s="2" t="str">
        <f>VLOOKUP(TBL_S3[[#This Row],[Nr 1]],TBL_Team[],2,FALSE)</f>
        <v>De plankierkaarters</v>
      </c>
      <c r="D4" s="2" t="s">
        <v>6</v>
      </c>
      <c r="E4" s="2" t="str">
        <f>VLOOKUP(TBL_S3[[#This Row],[Nr 2]],TBL_Team[],2,FALSE)</f>
        <v>Essense 2</v>
      </c>
      <c r="F4" s="70">
        <v>28</v>
      </c>
      <c r="G4" s="27">
        <v>34</v>
      </c>
      <c r="H4" s="28">
        <v>41</v>
      </c>
      <c r="I4" s="62">
        <f xml:space="preserve"> ABS(TBL_S3[[#This Row],[IMP 2]]-TBL_S3[[#This Row],[IMP 1]])</f>
        <v>7</v>
      </c>
      <c r="J4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8.17</v>
      </c>
      <c r="K4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11.83</v>
      </c>
    </row>
    <row r="5" spans="2:11" x14ac:dyDescent="0.3">
      <c r="B5" s="70">
        <v>7</v>
      </c>
      <c r="C5" s="2" t="str">
        <f>VLOOKUP(TBL_S3[[#This Row],[Nr 1]],TBL_Team[],2,FALSE)</f>
        <v>Riviera 9</v>
      </c>
      <c r="D5" s="2" t="s">
        <v>6</v>
      </c>
      <c r="E5" s="2" t="str">
        <f>VLOOKUP(TBL_S3[[#This Row],[Nr 2]],TBL_Team[],2,FALSE)</f>
        <v>Houtland</v>
      </c>
      <c r="F5" s="70">
        <v>35</v>
      </c>
      <c r="G5" s="27">
        <v>31</v>
      </c>
      <c r="H5" s="28">
        <v>32</v>
      </c>
      <c r="I5" s="62">
        <f xml:space="preserve"> ABS(TBL_S3[[#This Row],[IMP 2]]-TBL_S3[[#This Row],[IMP 1]])</f>
        <v>1</v>
      </c>
      <c r="J5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9.7200000000000006</v>
      </c>
      <c r="K5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10.28</v>
      </c>
    </row>
    <row r="6" spans="2:11" x14ac:dyDescent="0.3">
      <c r="B6" s="70">
        <v>46</v>
      </c>
      <c r="C6" s="2" t="str">
        <f>VLOOKUP(TBL_S3[[#This Row],[Nr 1]],TBL_Team[],2,FALSE)</f>
        <v>Pieterman 6</v>
      </c>
      <c r="D6" s="2" t="s">
        <v>6</v>
      </c>
      <c r="E6" s="2" t="str">
        <f>VLOOKUP(TBL_S3[[#This Row],[Nr 2]],TBL_Team[],2,FALSE)</f>
        <v>Waasmunster 1</v>
      </c>
      <c r="F6" s="70">
        <v>16</v>
      </c>
      <c r="G6" s="27">
        <v>22</v>
      </c>
      <c r="H6" s="28">
        <v>53</v>
      </c>
      <c r="I6" s="62">
        <f xml:space="preserve"> ABS(TBL_S3[[#This Row],[IMP 2]]-TBL_S3[[#This Row],[IMP 1]])</f>
        <v>31</v>
      </c>
      <c r="J6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3.620000000000001</v>
      </c>
      <c r="K6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16.38</v>
      </c>
    </row>
    <row r="7" spans="2:11" x14ac:dyDescent="0.3">
      <c r="B7" s="70">
        <v>42</v>
      </c>
      <c r="C7" s="2" t="str">
        <f>VLOOKUP(TBL_S3[[#This Row],[Nr 1]],TBL_Team[],2,FALSE)</f>
        <v>Goldstar</v>
      </c>
      <c r="D7" s="2" t="s">
        <v>6</v>
      </c>
      <c r="E7" s="3" t="str">
        <f>VLOOKUP(TBL_S3[[#This Row],[Nr 2]],TBL_Team[],2,FALSE)</f>
        <v>Bee 1</v>
      </c>
      <c r="F7" s="70">
        <v>19</v>
      </c>
      <c r="G7" s="27">
        <v>43</v>
      </c>
      <c r="H7" s="28">
        <v>44</v>
      </c>
      <c r="I7" s="62">
        <f xml:space="preserve"> ABS(TBL_S3[[#This Row],[IMP 2]]-TBL_S3[[#This Row],[IMP 1]])</f>
        <v>1</v>
      </c>
      <c r="J7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9.7200000000000006</v>
      </c>
      <c r="K7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10.28</v>
      </c>
    </row>
    <row r="8" spans="2:11" x14ac:dyDescent="0.3">
      <c r="B8" s="70">
        <v>37</v>
      </c>
      <c r="C8" s="2" t="str">
        <f>VLOOKUP(TBL_S3[[#This Row],[Nr 1]],TBL_Team[],2,FALSE)</f>
        <v>REGENBOOG</v>
      </c>
      <c r="D8" s="2" t="s">
        <v>6</v>
      </c>
      <c r="E8" s="3" t="str">
        <f>VLOOKUP(TBL_S3[[#This Row],[Nr 2]],TBL_Team[],2,FALSE)</f>
        <v>Kollebloem Puurs</v>
      </c>
      <c r="F8" s="70">
        <v>24</v>
      </c>
      <c r="G8" s="27">
        <v>44</v>
      </c>
      <c r="H8" s="28">
        <v>56</v>
      </c>
      <c r="I8" s="62">
        <f xml:space="preserve"> ABS(TBL_S3[[#This Row],[IMP 2]]-TBL_S3[[#This Row],[IMP 1]])</f>
        <v>12</v>
      </c>
      <c r="J8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7.02</v>
      </c>
      <c r="K8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12.98</v>
      </c>
    </row>
    <row r="9" spans="2:11" x14ac:dyDescent="0.3">
      <c r="B9" s="70">
        <v>33</v>
      </c>
      <c r="C9" s="2" t="str">
        <f>VLOOKUP(TBL_S3[[#This Row],[Nr 1]],TBL_Team[],2,FALSE)</f>
        <v>Nigranka</v>
      </c>
      <c r="D9" s="2" t="s">
        <v>6</v>
      </c>
      <c r="E9" s="3" t="str">
        <f>VLOOKUP(TBL_S3[[#This Row],[Nr 2]],TBL_Team[],2,FALSE)</f>
        <v>Roeselare 2</v>
      </c>
      <c r="F9" s="70">
        <v>22</v>
      </c>
      <c r="G9" s="27">
        <v>17</v>
      </c>
      <c r="H9" s="28">
        <v>57</v>
      </c>
      <c r="I9" s="62">
        <f xml:space="preserve"> ABS(TBL_S3[[#This Row],[IMP 2]]-TBL_S3[[#This Row],[IMP 1]])</f>
        <v>40</v>
      </c>
      <c r="J9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2.4400000000000013</v>
      </c>
      <c r="K9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17.559999999999999</v>
      </c>
    </row>
    <row r="10" spans="2:11" x14ac:dyDescent="0.3">
      <c r="B10" s="70">
        <v>34</v>
      </c>
      <c r="C10" s="2" t="str">
        <f>VLOOKUP(TBL_S3[[#This Row],[Nr 1]],TBL_Team[],2,FALSE)</f>
        <v>EBUROON 2</v>
      </c>
      <c r="D10" s="2" t="s">
        <v>6</v>
      </c>
      <c r="E10" s="3" t="str">
        <f>VLOOKUP(TBL_S3[[#This Row],[Nr 2]],TBL_Team[],2,FALSE)</f>
        <v>KATMOTTEPASSE</v>
      </c>
      <c r="F10" s="70">
        <v>10</v>
      </c>
      <c r="G10" s="27">
        <v>41</v>
      </c>
      <c r="H10" s="28">
        <v>54</v>
      </c>
      <c r="I10" s="62">
        <f xml:space="preserve"> ABS(TBL_S3[[#This Row],[IMP 2]]-TBL_S3[[#This Row],[IMP 1]])</f>
        <v>13</v>
      </c>
      <c r="J10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6.8000000000000007</v>
      </c>
      <c r="K10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13.2</v>
      </c>
    </row>
    <row r="11" spans="2:11" x14ac:dyDescent="0.3">
      <c r="B11" s="70">
        <v>23</v>
      </c>
      <c r="C11" s="2" t="str">
        <f>VLOOKUP(TBL_S3[[#This Row],[Nr 1]],TBL_Team[],2,FALSE)</f>
        <v>Heusden 2</v>
      </c>
      <c r="D11" s="2" t="s">
        <v>6</v>
      </c>
      <c r="E11" s="2" t="str">
        <f>VLOOKUP(TBL_S3[[#This Row],[Nr 2]],TBL_Team[],2,FALSE)</f>
        <v>De Wevers</v>
      </c>
      <c r="F11" s="70">
        <v>5</v>
      </c>
      <c r="G11" s="27">
        <v>27</v>
      </c>
      <c r="H11" s="28">
        <v>38</v>
      </c>
      <c r="I11" s="62">
        <f xml:space="preserve"> ABS(TBL_S3[[#This Row],[IMP 2]]-TBL_S3[[#This Row],[IMP 1]])</f>
        <v>11</v>
      </c>
      <c r="J11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7.24</v>
      </c>
      <c r="K11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12.76</v>
      </c>
    </row>
    <row r="12" spans="2:11" x14ac:dyDescent="0.3">
      <c r="B12" s="70">
        <v>13</v>
      </c>
      <c r="C12" s="2" t="str">
        <f>VLOOKUP(TBL_S3[[#This Row],[Nr 1]],TBL_Team[],2,FALSE)</f>
        <v>Heusden 3</v>
      </c>
      <c r="D12" s="2" t="s">
        <v>6</v>
      </c>
      <c r="E12" s="2" t="str">
        <f>VLOOKUP(TBL_S3[[#This Row],[Nr 2]],TBL_Team[],2,FALSE)</f>
        <v>Heusden 4</v>
      </c>
      <c r="F12" s="70">
        <v>17</v>
      </c>
      <c r="G12" s="27">
        <v>38</v>
      </c>
      <c r="H12" s="28">
        <v>38</v>
      </c>
      <c r="I12" s="62">
        <f xml:space="preserve"> ABS(TBL_S3[[#This Row],[IMP 2]]-TBL_S3[[#This Row],[IMP 1]])</f>
        <v>0</v>
      </c>
      <c r="J12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10</v>
      </c>
      <c r="K12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10</v>
      </c>
    </row>
    <row r="13" spans="2:11" x14ac:dyDescent="0.3">
      <c r="B13" s="70">
        <v>39</v>
      </c>
      <c r="C13" s="2" t="str">
        <f>VLOOKUP(TBL_S3[[#This Row],[Nr 1]],TBL_Team[],2,FALSE)</f>
        <v>De witte beren</v>
      </c>
      <c r="D13" s="2" t="s">
        <v>6</v>
      </c>
      <c r="E13" s="2" t="str">
        <f>VLOOKUP(TBL_S3[[#This Row],[Nr 2]],TBL_Team[],2,FALSE)</f>
        <v>G.L.A.M.</v>
      </c>
      <c r="F13" s="70">
        <v>2</v>
      </c>
      <c r="G13" s="27">
        <v>15</v>
      </c>
      <c r="H13" s="28">
        <v>50</v>
      </c>
      <c r="I13" s="62">
        <f xml:space="preserve"> ABS(TBL_S3[[#This Row],[IMP 2]]-TBL_S3[[#This Row],[IMP 1]])</f>
        <v>35</v>
      </c>
      <c r="J13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3.0700000000000003</v>
      </c>
      <c r="K13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16.93</v>
      </c>
    </row>
    <row r="14" spans="2:11" x14ac:dyDescent="0.3">
      <c r="B14" s="70">
        <v>21</v>
      </c>
      <c r="C14" s="2" t="str">
        <f>VLOOKUP(TBL_S3[[#This Row],[Nr 1]],TBL_Team[],2,FALSE)</f>
        <v>Bridgevrienden</v>
      </c>
      <c r="D14" s="2" t="s">
        <v>6</v>
      </c>
      <c r="E14" s="2" t="str">
        <f>VLOOKUP(TBL_S3[[#This Row],[Nr 2]],TBL_Team[],2,FALSE)</f>
        <v>Westrand 3</v>
      </c>
      <c r="F14" s="70">
        <v>30</v>
      </c>
      <c r="G14" s="27">
        <v>34</v>
      </c>
      <c r="H14" s="28">
        <v>64</v>
      </c>
      <c r="I14" s="62">
        <f xml:space="preserve"> ABS(TBL_S3[[#This Row],[IMP 2]]-TBL_S3[[#This Row],[IMP 1]])</f>
        <v>30</v>
      </c>
      <c r="J14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3.7699999999999996</v>
      </c>
      <c r="K14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16.23</v>
      </c>
    </row>
    <row r="15" spans="2:11" x14ac:dyDescent="0.3">
      <c r="B15" s="70">
        <v>44</v>
      </c>
      <c r="C15" s="2" t="str">
        <f>VLOOKUP(TBL_S3[[#This Row],[Nr 1]],TBL_Team[],2,FALSE)</f>
        <v>Edegem 1</v>
      </c>
      <c r="D15" s="2" t="s">
        <v>6</v>
      </c>
      <c r="E15" s="2" t="str">
        <f>VLOOKUP(TBL_S3[[#This Row],[Nr 2]],TBL_Team[],2,FALSE)</f>
        <v>Edegem 2</v>
      </c>
      <c r="F15" s="70">
        <v>45</v>
      </c>
      <c r="G15" s="27">
        <v>10</v>
      </c>
      <c r="H15" s="28">
        <v>57</v>
      </c>
      <c r="I15" s="62">
        <f xml:space="preserve"> ABS(TBL_S3[[#This Row],[IMP 2]]-TBL_S3[[#This Row],[IMP 1]])</f>
        <v>47</v>
      </c>
      <c r="J15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1.6700000000000017</v>
      </c>
      <c r="K15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18.329999999999998</v>
      </c>
    </row>
    <row r="16" spans="2:11" x14ac:dyDescent="0.3">
      <c r="B16" s="70">
        <v>11</v>
      </c>
      <c r="C16" s="2" t="str">
        <f>VLOOKUP(TBL_S3[[#This Row],[Nr 1]],TBL_Team[],2,FALSE)</f>
        <v>Sandeman 3</v>
      </c>
      <c r="D16" s="2" t="s">
        <v>6</v>
      </c>
      <c r="E16" s="2" t="str">
        <f>VLOOKUP(TBL_S3[[#This Row],[Nr 2]],TBL_Team[],2,FALSE)</f>
        <v>Boeckenberg MK</v>
      </c>
      <c r="F16" s="70">
        <v>1</v>
      </c>
      <c r="G16" s="27">
        <v>76</v>
      </c>
      <c r="H16" s="28">
        <v>25</v>
      </c>
      <c r="I16" s="62">
        <f xml:space="preserve"> ABS(TBL_S3[[#This Row],[IMP 2]]-TBL_S3[[#This Row],[IMP 1]])</f>
        <v>51</v>
      </c>
      <c r="J16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18.73</v>
      </c>
      <c r="K16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1.2699999999999996</v>
      </c>
    </row>
    <row r="17" spans="2:11" x14ac:dyDescent="0.3">
      <c r="B17" s="70">
        <v>26</v>
      </c>
      <c r="C17" s="2" t="str">
        <f>VLOOKUP(TBL_S3[[#This Row],[Nr 1]],TBL_Team[],2,FALSE)</f>
        <v>ANPAROJO</v>
      </c>
      <c r="D17" s="2" t="s">
        <v>6</v>
      </c>
      <c r="E17" s="2" t="str">
        <f>VLOOKUP(TBL_S3[[#This Row],[Nr 2]],TBL_Team[],2,FALSE)</f>
        <v>Bree</v>
      </c>
      <c r="F17" s="70">
        <v>25</v>
      </c>
      <c r="G17" s="27">
        <f xml:space="preserve"> 51+25</f>
        <v>76</v>
      </c>
      <c r="H17" s="28">
        <f xml:space="preserve"> 11+11</f>
        <v>22</v>
      </c>
      <c r="I17" s="62">
        <f xml:space="preserve"> ABS(TBL_S3[[#This Row],[IMP 2]]-TBL_S3[[#This Row],[IMP 1]])</f>
        <v>54</v>
      </c>
      <c r="J17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19</v>
      </c>
      <c r="K17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</v>
      </c>
    </row>
    <row r="18" spans="2:11" x14ac:dyDescent="0.3">
      <c r="B18" s="70">
        <v>14</v>
      </c>
      <c r="C18" s="2" t="str">
        <f>VLOOKUP(TBL_S3[[#This Row],[Nr 1]],TBL_Team[],2,FALSE)</f>
        <v>Waregem 5</v>
      </c>
      <c r="D18" s="2" t="s">
        <v>6</v>
      </c>
      <c r="E18" s="2" t="str">
        <f>VLOOKUP(TBL_S3[[#This Row],[Nr 2]],TBL_Team[],2,FALSE)</f>
        <v>De Schlemielen</v>
      </c>
      <c r="F18" s="70">
        <v>29</v>
      </c>
      <c r="G18" s="27">
        <v>58</v>
      </c>
      <c r="H18" s="28">
        <v>34</v>
      </c>
      <c r="I18" s="62">
        <f xml:space="preserve"> ABS(TBL_S3[[#This Row],[IMP 2]]-TBL_S3[[#This Row],[IMP 1]])</f>
        <v>24</v>
      </c>
      <c r="J18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15.28</v>
      </c>
      <c r="K18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4.7200000000000006</v>
      </c>
    </row>
    <row r="19" spans="2:11" x14ac:dyDescent="0.3">
      <c r="B19" s="70">
        <v>32</v>
      </c>
      <c r="C19" s="2" t="str">
        <f>VLOOKUP(TBL_S3[[#This Row],[Nr 1]],TBL_Team[],2,FALSE)</f>
        <v>Forum 3</v>
      </c>
      <c r="D19" s="2" t="s">
        <v>6</v>
      </c>
      <c r="E19" s="2" t="str">
        <f>VLOOKUP(TBL_S3[[#This Row],[Nr 2]],TBL_Team[],2,FALSE)</f>
        <v>Voer</v>
      </c>
      <c r="F19" s="70">
        <v>36</v>
      </c>
      <c r="G19" s="27">
        <v>102</v>
      </c>
      <c r="H19" s="28">
        <v>9</v>
      </c>
      <c r="I19" s="62">
        <f xml:space="preserve"> ABS(TBL_S3[[#This Row],[IMP 2]]-TBL_S3[[#This Row],[IMP 1]])</f>
        <v>93</v>
      </c>
      <c r="J19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20</v>
      </c>
      <c r="K19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0</v>
      </c>
    </row>
    <row r="20" spans="2:11" x14ac:dyDescent="0.3">
      <c r="B20" s="70">
        <v>38</v>
      </c>
      <c r="C20" s="2" t="str">
        <f>VLOOKUP(TBL_S3[[#This Row],[Nr 1]],TBL_Team[],2,FALSE)</f>
        <v>Sandeman 6</v>
      </c>
      <c r="D20" s="2" t="s">
        <v>6</v>
      </c>
      <c r="E20" s="2" t="str">
        <f>VLOOKUP(TBL_S3[[#This Row],[Nr 2]],TBL_Team[],2,FALSE)</f>
        <v>DOWNAGAIN ?</v>
      </c>
      <c r="F20" s="70">
        <v>31</v>
      </c>
      <c r="G20" s="27">
        <v>36</v>
      </c>
      <c r="H20" s="28">
        <v>94</v>
      </c>
      <c r="I20" s="62">
        <f xml:space="preserve"> ABS(TBL_S3[[#This Row],[IMP 2]]-TBL_S3[[#This Row],[IMP 1]])</f>
        <v>58</v>
      </c>
      <c r="J20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0.67000000000000171</v>
      </c>
      <c r="K20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19.329999999999998</v>
      </c>
    </row>
    <row r="21" spans="2:11" x14ac:dyDescent="0.3">
      <c r="B21" s="70">
        <v>18</v>
      </c>
      <c r="C21" s="2" t="str">
        <f>VLOOKUP(TBL_S3[[#This Row],[Nr 1]],TBL_Team[],2,FALSE)</f>
        <v>MiMoDanan</v>
      </c>
      <c r="D21" s="2" t="s">
        <v>6</v>
      </c>
      <c r="E21" s="2" t="str">
        <f>VLOOKUP(TBL_S3[[#This Row],[Nr 2]],TBL_Team[],2,FALSE)</f>
        <v>Essense 1</v>
      </c>
      <c r="F21" s="70">
        <v>27</v>
      </c>
      <c r="G21" s="27">
        <v>29</v>
      </c>
      <c r="H21" s="28">
        <v>35</v>
      </c>
      <c r="I21" s="62">
        <f xml:space="preserve"> ABS(TBL_S3[[#This Row],[IMP 2]]-TBL_S3[[#This Row],[IMP 1]])</f>
        <v>6</v>
      </c>
      <c r="J21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8.41</v>
      </c>
      <c r="K21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11.59</v>
      </c>
    </row>
    <row r="22" spans="2:11" x14ac:dyDescent="0.3">
      <c r="B22" s="70">
        <v>40</v>
      </c>
      <c r="C22" s="2" t="str">
        <f>VLOOKUP(TBL_S3[[#This Row],[Nr 1]],TBL_Team[],2,FALSE)</f>
        <v>W8ebeke</v>
      </c>
      <c r="D22" s="2" t="s">
        <v>6</v>
      </c>
      <c r="E22" s="2" t="str">
        <f>VLOOKUP(TBL_S3[[#This Row],[Nr 2]],TBL_Team[],2,FALSE)</f>
        <v>Bee 2</v>
      </c>
      <c r="F22" s="70">
        <v>20</v>
      </c>
      <c r="G22" s="27">
        <v>54</v>
      </c>
      <c r="H22" s="28">
        <v>40</v>
      </c>
      <c r="I22" s="62">
        <f xml:space="preserve"> ABS(TBL_S3[[#This Row],[IMP 2]]-TBL_S3[[#This Row],[IMP 1]])</f>
        <v>14</v>
      </c>
      <c r="J22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13.41</v>
      </c>
      <c r="K22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6.59</v>
      </c>
    </row>
    <row r="23" spans="2:11" x14ac:dyDescent="0.3">
      <c r="B23" s="70">
        <v>6</v>
      </c>
      <c r="C23" s="2" t="str">
        <f>VLOOKUP(TBL_S3[[#This Row],[Nr 1]],TBL_Team[],2,FALSE)</f>
        <v>Boeckenberg 2</v>
      </c>
      <c r="D23" s="2" t="s">
        <v>6</v>
      </c>
      <c r="E23" s="2" t="str">
        <f>VLOOKUP(TBL_S3[[#This Row],[Nr 2]],TBL_Team[],2,FALSE)</f>
        <v>Tom Pousse</v>
      </c>
      <c r="F23" s="70">
        <v>8</v>
      </c>
      <c r="G23" s="27">
        <v>85</v>
      </c>
      <c r="H23" s="28">
        <v>16</v>
      </c>
      <c r="I23" s="62">
        <f xml:space="preserve"> ABS(TBL_S3[[#This Row],[IMP 2]]-TBL_S3[[#This Row],[IMP 1]])</f>
        <v>69</v>
      </c>
      <c r="J23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20</v>
      </c>
      <c r="K23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0</v>
      </c>
    </row>
    <row r="24" spans="2:11" x14ac:dyDescent="0.3">
      <c r="B24" s="70">
        <v>41</v>
      </c>
      <c r="C24" s="2" t="str">
        <f>VLOOKUP(TBL_S3[[#This Row],[Nr 1]],TBL_Team[],2,FALSE)</f>
        <v>Sandeman7</v>
      </c>
      <c r="D24" s="2" t="s">
        <v>6</v>
      </c>
      <c r="E24" s="2" t="str">
        <f>VLOOKUP(TBL_S3[[#This Row],[Nr 2]],TBL_Team[],2,FALSE)</f>
        <v>jeweetwelwie</v>
      </c>
      <c r="F24" s="70">
        <v>12</v>
      </c>
      <c r="G24" s="27">
        <v>11</v>
      </c>
      <c r="H24" s="28">
        <v>57</v>
      </c>
      <c r="I24" s="62">
        <f xml:space="preserve"> ABS(TBL_S3[[#This Row],[IMP 2]]-TBL_S3[[#This Row],[IMP 1]])</f>
        <v>46</v>
      </c>
      <c r="J24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1.7699999999999996</v>
      </c>
      <c r="K24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18.23</v>
      </c>
    </row>
    <row r="25" spans="2:11" x14ac:dyDescent="0.3">
      <c r="B25" s="70">
        <v>3</v>
      </c>
      <c r="C25" s="2" t="str">
        <f>VLOOKUP(TBL_S3[[#This Row],[Nr 1]],TBL_Team[],2,FALSE)</f>
        <v>Geel 2</v>
      </c>
      <c r="D25" s="2" t="s">
        <v>6</v>
      </c>
      <c r="E25" s="2" t="str">
        <f>VLOOKUP(TBL_S3[[#This Row],[Nr 2]],TBL_Team[],2,FALSE)</f>
        <v>Last minute</v>
      </c>
      <c r="F25" s="70">
        <v>43</v>
      </c>
      <c r="G25" s="27">
        <v>53</v>
      </c>
      <c r="H25" s="28">
        <v>27</v>
      </c>
      <c r="I25" s="62">
        <f xml:space="preserve"> ABS(TBL_S3[[#This Row],[IMP 2]]-TBL_S3[[#This Row],[IMP 1]])</f>
        <v>26</v>
      </c>
      <c r="J25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15.61</v>
      </c>
      <c r="K25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4.3900000000000006</v>
      </c>
    </row>
    <row r="26" spans="2:11" x14ac:dyDescent="0.3">
      <c r="B26" s="70">
        <v>9</v>
      </c>
      <c r="C26" s="2" t="str">
        <f>VLOOKUP(TBL_S3[[#This Row],[Nr 1]],TBL_Team[],2,FALSE)</f>
        <v>De Cuatros</v>
      </c>
      <c r="D26" s="2" t="s">
        <v>6</v>
      </c>
      <c r="E26" s="2" t="str">
        <f>VLOOKUP(TBL_S3[[#This Row],[Nr 2]],TBL_Team[],2,FALSE)</f>
        <v>Sandeman 5</v>
      </c>
      <c r="F26" s="70">
        <v>15</v>
      </c>
      <c r="G26" s="27">
        <v>52</v>
      </c>
      <c r="H26" s="28">
        <v>31</v>
      </c>
      <c r="I26" s="62">
        <f xml:space="preserve"> ABS(TBL_S3[[#This Row],[IMP 2]]-TBL_S3[[#This Row],[IMP 1]])</f>
        <v>21</v>
      </c>
      <c r="J26" s="59">
        <f xml:space="preserve"> IF(ISBLANK(TBL_S3[[#This Row],[IMP 1]]), "", IF(TBL_S3[[#This Row],[IMP 1]]&gt;TBL_S3[[#This Row],[IMP 2]], VLOOKUP(TBL_S3[[#This Row],[IMP Diff]],TBL_VP[], 2, TRUE), VLOOKUP(TBL_S3[[#This Row],[IMP Diff]],TBL_VP[], 3, TRUE)))</f>
        <v>14.76</v>
      </c>
      <c r="K26" s="60">
        <f xml:space="preserve"> IF(ISBLANK(TBL_S3[[#This Row],[IMP 2]]), "", IF(TBL_S3[[#This Row],[IMP 2]]&gt;TBL_S3[[#This Row],[IMP 1]], VLOOKUP(TBL_S3[[#This Row],[IMP Diff]],TBL_VP[], 2, TRUE), VLOOKUP(TBL_S3[[#This Row],[IMP Diff]],TBL_VP[], 3, TRUE)))</f>
        <v>5.24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D64D79725638478932A122C1502821" ma:contentTypeVersion="13" ma:contentTypeDescription="Create a new document." ma:contentTypeScope="" ma:versionID="382b6bb1e533defb5f74cd235a675bcf">
  <xsd:schema xmlns:xsd="http://www.w3.org/2001/XMLSchema" xmlns:xs="http://www.w3.org/2001/XMLSchema" xmlns:p="http://schemas.microsoft.com/office/2006/metadata/properties" xmlns:ns3="aac53020-15e4-41d5-9a61-a3a89621d13e" xmlns:ns4="e236c2e8-8e8d-4610-a5cd-c7f5ce1ea382" targetNamespace="http://schemas.microsoft.com/office/2006/metadata/properties" ma:root="true" ma:fieldsID="4b0aa721bb26888cf745f8443a48b185" ns3:_="" ns4:_="">
    <xsd:import namespace="aac53020-15e4-41d5-9a61-a3a89621d13e"/>
    <xsd:import namespace="e236c2e8-8e8d-4610-a5cd-c7f5ce1ea38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c53020-15e4-41d5-9a61-a3a89621d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36c2e8-8e8d-4610-a5cd-c7f5ce1ea382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5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65B405B-323F-4D8F-9384-D003D53778B6}">
  <ds:schemaRefs>
    <ds:schemaRef ds:uri="e236c2e8-8e8d-4610-a5cd-c7f5ce1ea382"/>
    <ds:schemaRef ds:uri="aac53020-15e4-41d5-9a61-a3a89621d13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0C4F3F6-0CC5-4D1D-9CB8-96A3F2BE1B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ac53020-15e4-41d5-9a61-a3a89621d13e"/>
    <ds:schemaRef ds:uri="e236c2e8-8e8d-4610-a5cd-c7f5ce1ea38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FEE27A9-C355-4032-9924-D27B26DBBF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11</vt:i4>
      </vt:variant>
    </vt:vector>
  </HeadingPairs>
  <TitlesOfParts>
    <vt:vector size="11" baseType="lpstr">
      <vt:lpstr>WBF VP Scale</vt:lpstr>
      <vt:lpstr>Team Info</vt:lpstr>
      <vt:lpstr>Rangschikking</vt:lpstr>
      <vt:lpstr>Speeldag 8 + Finales</vt:lpstr>
      <vt:lpstr>Speeldag 7 + HF</vt:lpstr>
      <vt:lpstr>Speeldag 6 + KF</vt:lpstr>
      <vt:lpstr>Speeldag 5</vt:lpstr>
      <vt:lpstr>Speeldag 4</vt:lpstr>
      <vt:lpstr>Speeldag 3</vt:lpstr>
      <vt:lpstr>Speeldag 2</vt:lpstr>
      <vt:lpstr>Speeldag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WAUTERS Tom</dc:creator>
  <cp:lastModifiedBy>Ann</cp:lastModifiedBy>
  <cp:lastPrinted>2021-01-06T12:16:13Z</cp:lastPrinted>
  <dcterms:created xsi:type="dcterms:W3CDTF">2020-03-26T13:16:31Z</dcterms:created>
  <dcterms:modified xsi:type="dcterms:W3CDTF">2021-05-31T09:55:19Z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0x010100B5D64D79725638478932A122C1502821</vt:lpwstr>
  </property>
</Properties>
</file>